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S:\6003_Výstavba kanalizace - Kolomuty\#VÍCEPRÁCE\00_INVESTOR\00_Změnové listy_INVESTOR_projednané\6003_Jizera B_Dodatek D3 - úprava ZA - oprava 15.12.2022\"/>
    </mc:Choice>
  </mc:AlternateContent>
  <xr:revisionPtr revIDLastSave="0" documentId="13_ncr:1_{4F39D991-AF46-4CD8-A9F8-47FC7EB0F9FE}" xr6:coauthVersionLast="47" xr6:coauthVersionMax="47" xr10:uidLastSave="{00000000-0000-0000-0000-000000000000}"/>
  <bookViews>
    <workbookView xWindow="28680" yWindow="-120" windowWidth="29040" windowHeight="15840" tabRatio="907" xr2:uid="{00000000-000D-0000-FFFF-FFFF00000000}"/>
  </bookViews>
  <sheets>
    <sheet name="Rekapitulace" sheetId="41" r:id="rId1"/>
    <sheet name="ZM_1" sheetId="39" r:id="rId2"/>
    <sheet name="ZM_2" sheetId="40" r:id="rId3"/>
    <sheet name="ZM_3" sheetId="43" r:id="rId4"/>
  </sheets>
  <definedNames>
    <definedName name="_xlnm._FilterDatabase" localSheetId="2" hidden="1">ZM_2!$A$14:$M$284</definedName>
    <definedName name="_xlnm.Print_Titles" localSheetId="1">ZM_1!$9:$10</definedName>
    <definedName name="_xlnm.Print_Titles" localSheetId="2">ZM_2!$9:$10</definedName>
    <definedName name="_xlnm.Print_Titles" localSheetId="3">ZM_3!$9:$10</definedName>
    <definedName name="_xlnm.Print_Area" localSheetId="1">ZM_1!$A$1:$M$96</definedName>
    <definedName name="_xlnm.Print_Area" localSheetId="2">ZM_2!$A$1:$M$290</definedName>
    <definedName name="_xlnm.Print_Area" localSheetId="3">ZM_3!$A$1:$M$22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6" i="41" l="1"/>
  <c r="M89" i="39" l="1"/>
  <c r="M14" i="43" l="1"/>
  <c r="F14" i="43"/>
  <c r="K14" i="43"/>
  <c r="G15" i="41" l="1"/>
  <c r="H15" i="41"/>
  <c r="J232" i="40"/>
  <c r="J233" i="40"/>
  <c r="J234" i="40"/>
  <c r="J225" i="40"/>
  <c r="J226" i="40"/>
  <c r="J227" i="40"/>
  <c r="J228" i="40"/>
  <c r="J229" i="40"/>
  <c r="J199" i="40"/>
  <c r="J200" i="40"/>
  <c r="J201" i="40"/>
  <c r="J202" i="40"/>
  <c r="J203" i="40"/>
  <c r="J204" i="40"/>
  <c r="J205" i="40"/>
  <c r="J206" i="40"/>
  <c r="J207" i="40"/>
  <c r="J208" i="40"/>
  <c r="J209" i="40"/>
  <c r="J210" i="40"/>
  <c r="J211" i="40"/>
  <c r="J212" i="40"/>
  <c r="J213" i="40"/>
  <c r="J214" i="40"/>
  <c r="J215" i="40"/>
  <c r="J216" i="40"/>
  <c r="J217" i="40"/>
  <c r="J218" i="40"/>
  <c r="J188" i="40"/>
  <c r="J189" i="40"/>
  <c r="J190" i="40"/>
  <c r="J181" i="40"/>
  <c r="J182" i="40"/>
  <c r="J183" i="40"/>
  <c r="J184" i="40"/>
  <c r="J185" i="40"/>
  <c r="J155" i="40"/>
  <c r="J156" i="40"/>
  <c r="J157" i="40"/>
  <c r="J158" i="40"/>
  <c r="J159" i="40"/>
  <c r="J160" i="40"/>
  <c r="J161" i="40"/>
  <c r="J162" i="40"/>
  <c r="J163" i="40"/>
  <c r="J164" i="40"/>
  <c r="J165" i="40"/>
  <c r="J166" i="40"/>
  <c r="J167" i="40"/>
  <c r="J168" i="40"/>
  <c r="J169" i="40"/>
  <c r="J170" i="40"/>
  <c r="J171" i="40"/>
  <c r="J172" i="40"/>
  <c r="J173" i="40"/>
  <c r="J174" i="40"/>
  <c r="J144" i="40"/>
  <c r="J145" i="40"/>
  <c r="J146" i="40"/>
  <c r="J137" i="40"/>
  <c r="J138" i="40"/>
  <c r="J139" i="40"/>
  <c r="J140" i="40"/>
  <c r="J141" i="40"/>
  <c r="J111" i="40"/>
  <c r="J112" i="40"/>
  <c r="J113" i="40"/>
  <c r="J114" i="40"/>
  <c r="J115" i="40"/>
  <c r="J116" i="40"/>
  <c r="J117" i="40"/>
  <c r="J118" i="40"/>
  <c r="J119" i="40"/>
  <c r="J120" i="40"/>
  <c r="J121" i="40"/>
  <c r="J122" i="40"/>
  <c r="J123" i="40"/>
  <c r="J124" i="40"/>
  <c r="J125" i="40"/>
  <c r="J126" i="40"/>
  <c r="J127" i="40"/>
  <c r="J128" i="40"/>
  <c r="J129" i="40"/>
  <c r="J130" i="40"/>
  <c r="L283" i="40"/>
  <c r="M283" i="40" s="1"/>
  <c r="J283" i="40" s="1"/>
  <c r="K283" i="40"/>
  <c r="L282" i="40"/>
  <c r="M282" i="40" s="1"/>
  <c r="J282" i="40" s="1"/>
  <c r="K282" i="40"/>
  <c r="L281" i="40"/>
  <c r="M281" i="40" s="1"/>
  <c r="J281" i="40" s="1"/>
  <c r="K281" i="40"/>
  <c r="L280" i="40"/>
  <c r="M280" i="40" s="1"/>
  <c r="J280" i="40" s="1"/>
  <c r="K280" i="40"/>
  <c r="L279" i="40"/>
  <c r="M279" i="40" s="1"/>
  <c r="J279" i="40" s="1"/>
  <c r="K279" i="40"/>
  <c r="L277" i="40"/>
  <c r="M277" i="40" s="1"/>
  <c r="J277" i="40" s="1"/>
  <c r="K277" i="40"/>
  <c r="L276" i="40"/>
  <c r="M276" i="40" s="1"/>
  <c r="J276" i="40" s="1"/>
  <c r="K276" i="40"/>
  <c r="L275" i="40"/>
  <c r="M275" i="40" s="1"/>
  <c r="J275" i="40" s="1"/>
  <c r="K275" i="40"/>
  <c r="L273" i="40"/>
  <c r="M273" i="40" s="1"/>
  <c r="J273" i="40" s="1"/>
  <c r="K273" i="40"/>
  <c r="L271" i="40"/>
  <c r="M271" i="40" s="1"/>
  <c r="J271" i="40" s="1"/>
  <c r="K271" i="40"/>
  <c r="M269" i="40"/>
  <c r="J269" i="40" s="1"/>
  <c r="L269" i="40"/>
  <c r="K269" i="40"/>
  <c r="L267" i="40"/>
  <c r="M267" i="40" s="1"/>
  <c r="J267" i="40" s="1"/>
  <c r="K267" i="40"/>
  <c r="L266" i="40"/>
  <c r="M266" i="40" s="1"/>
  <c r="J266" i="40" s="1"/>
  <c r="K266" i="40"/>
  <c r="L264" i="40"/>
  <c r="M264" i="40" s="1"/>
  <c r="J264" i="40" s="1"/>
  <c r="K264" i="40"/>
  <c r="L263" i="40"/>
  <c r="K263" i="40"/>
  <c r="M263" i="40" s="1"/>
  <c r="J263" i="40" s="1"/>
  <c r="L262" i="40"/>
  <c r="M262" i="40" s="1"/>
  <c r="J262" i="40" s="1"/>
  <c r="K262" i="40"/>
  <c r="L261" i="40"/>
  <c r="K261" i="40"/>
  <c r="M261" i="40" s="1"/>
  <c r="J261" i="40" s="1"/>
  <c r="L260" i="40"/>
  <c r="M260" i="40" s="1"/>
  <c r="J260" i="40" s="1"/>
  <c r="K260" i="40"/>
  <c r="L259" i="40"/>
  <c r="K259" i="40"/>
  <c r="M259" i="40" s="1"/>
  <c r="J259" i="40" s="1"/>
  <c r="L258" i="40"/>
  <c r="M258" i="40" s="1"/>
  <c r="J258" i="40" s="1"/>
  <c r="K258" i="40"/>
  <c r="L257" i="40"/>
  <c r="M257" i="40" s="1"/>
  <c r="J257" i="40" s="1"/>
  <c r="K257" i="40"/>
  <c r="L256" i="40"/>
  <c r="M256" i="40" s="1"/>
  <c r="J256" i="40" s="1"/>
  <c r="K256" i="40"/>
  <c r="L255" i="40"/>
  <c r="M255" i="40" s="1"/>
  <c r="J255" i="40" s="1"/>
  <c r="K255" i="40"/>
  <c r="L254" i="40"/>
  <c r="M254" i="40" s="1"/>
  <c r="J254" i="40" s="1"/>
  <c r="K254" i="40"/>
  <c r="L253" i="40"/>
  <c r="M253" i="40" s="1"/>
  <c r="J253" i="40" s="1"/>
  <c r="K253" i="40"/>
  <c r="L252" i="40"/>
  <c r="M252" i="40" s="1"/>
  <c r="J252" i="40" s="1"/>
  <c r="K252" i="40"/>
  <c r="L251" i="40"/>
  <c r="M251" i="40" s="1"/>
  <c r="J251" i="40" s="1"/>
  <c r="K251" i="40"/>
  <c r="L250" i="40"/>
  <c r="M250" i="40" s="1"/>
  <c r="J250" i="40" s="1"/>
  <c r="K250" i="40"/>
  <c r="L249" i="40"/>
  <c r="M249" i="40" s="1"/>
  <c r="J249" i="40" s="1"/>
  <c r="K249" i="40"/>
  <c r="L248" i="40"/>
  <c r="M248" i="40" s="1"/>
  <c r="J248" i="40" s="1"/>
  <c r="K248" i="40"/>
  <c r="L247" i="40"/>
  <c r="M247" i="40" s="1"/>
  <c r="J247" i="40" s="1"/>
  <c r="K247" i="40"/>
  <c r="L246" i="40"/>
  <c r="M246" i="40" s="1"/>
  <c r="J246" i="40" s="1"/>
  <c r="K246" i="40"/>
  <c r="L245" i="40"/>
  <c r="M245" i="40" s="1"/>
  <c r="J245" i="40" s="1"/>
  <c r="K245" i="40"/>
  <c r="L244" i="40"/>
  <c r="M244" i="40" s="1"/>
  <c r="J244" i="40" s="1"/>
  <c r="K244" i="40"/>
  <c r="L243" i="40"/>
  <c r="M243" i="40" s="1"/>
  <c r="J243" i="40" s="1"/>
  <c r="K243" i="40"/>
  <c r="L242" i="40"/>
  <c r="M242" i="40" s="1"/>
  <c r="J242" i="40" s="1"/>
  <c r="K242" i="40"/>
  <c r="M234" i="40"/>
  <c r="L234" i="40"/>
  <c r="K234" i="40"/>
  <c r="L233" i="40"/>
  <c r="M233" i="40" s="1"/>
  <c r="K233" i="40"/>
  <c r="M232" i="40"/>
  <c r="L232" i="40"/>
  <c r="K232" i="40"/>
  <c r="L231" i="40"/>
  <c r="M231" i="40" s="1"/>
  <c r="J231" i="40" s="1"/>
  <c r="K231" i="40"/>
  <c r="L229" i="40"/>
  <c r="M229" i="40" s="1"/>
  <c r="K229" i="40"/>
  <c r="L228" i="40"/>
  <c r="M228" i="40" s="1"/>
  <c r="K228" i="40"/>
  <c r="L227" i="40"/>
  <c r="M227" i="40" s="1"/>
  <c r="K227" i="40"/>
  <c r="L226" i="40"/>
  <c r="M226" i="40" s="1"/>
  <c r="K226" i="40"/>
  <c r="L225" i="40"/>
  <c r="M225" i="40" s="1"/>
  <c r="K225" i="40"/>
  <c r="L224" i="40"/>
  <c r="M224" i="40" s="1"/>
  <c r="J224" i="40" s="1"/>
  <c r="K224" i="40"/>
  <c r="L222" i="40"/>
  <c r="M222" i="40" s="1"/>
  <c r="J222" i="40" s="1"/>
  <c r="K222" i="40"/>
  <c r="L220" i="40"/>
  <c r="M220" i="40" s="1"/>
  <c r="J220" i="40" s="1"/>
  <c r="K220" i="40"/>
  <c r="L218" i="40"/>
  <c r="M218" i="40" s="1"/>
  <c r="K218" i="40"/>
  <c r="L217" i="40"/>
  <c r="M217" i="40" s="1"/>
  <c r="K217" i="40"/>
  <c r="L216" i="40"/>
  <c r="M216" i="40" s="1"/>
  <c r="K216" i="40"/>
  <c r="L215" i="40"/>
  <c r="M215" i="40" s="1"/>
  <c r="K215" i="40"/>
  <c r="L214" i="40"/>
  <c r="M214" i="40" s="1"/>
  <c r="K214" i="40"/>
  <c r="L213" i="40"/>
  <c r="M213" i="40" s="1"/>
  <c r="K213" i="40"/>
  <c r="L212" i="40"/>
  <c r="M212" i="40" s="1"/>
  <c r="K212" i="40"/>
  <c r="L211" i="40"/>
  <c r="M211" i="40" s="1"/>
  <c r="K211" i="40"/>
  <c r="L210" i="40"/>
  <c r="M210" i="40" s="1"/>
  <c r="K210" i="40"/>
  <c r="L209" i="40"/>
  <c r="M209" i="40" s="1"/>
  <c r="K209" i="40"/>
  <c r="L208" i="40"/>
  <c r="M208" i="40" s="1"/>
  <c r="K208" i="40"/>
  <c r="L207" i="40"/>
  <c r="M207" i="40" s="1"/>
  <c r="K207" i="40"/>
  <c r="L206" i="40"/>
  <c r="M206" i="40" s="1"/>
  <c r="K206" i="40"/>
  <c r="L205" i="40"/>
  <c r="M205" i="40" s="1"/>
  <c r="K205" i="40"/>
  <c r="L204" i="40"/>
  <c r="M204" i="40" s="1"/>
  <c r="K204" i="40"/>
  <c r="L203" i="40"/>
  <c r="M203" i="40" s="1"/>
  <c r="K203" i="40"/>
  <c r="L202" i="40"/>
  <c r="M202" i="40" s="1"/>
  <c r="K202" i="40"/>
  <c r="L201" i="40"/>
  <c r="M201" i="40" s="1"/>
  <c r="K201" i="40"/>
  <c r="L200" i="40"/>
  <c r="M200" i="40" s="1"/>
  <c r="K200" i="40"/>
  <c r="L199" i="40"/>
  <c r="M199" i="40" s="1"/>
  <c r="K199" i="40"/>
  <c r="L198" i="40"/>
  <c r="M198" i="40" s="1"/>
  <c r="J198" i="40" s="1"/>
  <c r="K198" i="40"/>
  <c r="L190" i="40"/>
  <c r="M190" i="40" s="1"/>
  <c r="K190" i="40"/>
  <c r="L189" i="40"/>
  <c r="M189" i="40" s="1"/>
  <c r="K189" i="40"/>
  <c r="L188" i="40"/>
  <c r="M188" i="40" s="1"/>
  <c r="K188" i="40"/>
  <c r="L187" i="40"/>
  <c r="M187" i="40" s="1"/>
  <c r="J187" i="40" s="1"/>
  <c r="K187" i="40"/>
  <c r="L185" i="40"/>
  <c r="M185" i="40" s="1"/>
  <c r="K185" i="40"/>
  <c r="L184" i="40"/>
  <c r="M184" i="40" s="1"/>
  <c r="K184" i="40"/>
  <c r="L183" i="40"/>
  <c r="M183" i="40" s="1"/>
  <c r="K183" i="40"/>
  <c r="L182" i="40"/>
  <c r="M182" i="40" s="1"/>
  <c r="K182" i="40"/>
  <c r="L181" i="40"/>
  <c r="M181" i="40" s="1"/>
  <c r="K181" i="40"/>
  <c r="L180" i="40"/>
  <c r="M180" i="40" s="1"/>
  <c r="J180" i="40" s="1"/>
  <c r="K180" i="40"/>
  <c r="M178" i="40"/>
  <c r="J178" i="40" s="1"/>
  <c r="L178" i="40"/>
  <c r="K178" i="40"/>
  <c r="M176" i="40"/>
  <c r="L176" i="40"/>
  <c r="K176" i="40"/>
  <c r="L174" i="40"/>
  <c r="M174" i="40" s="1"/>
  <c r="K174" i="40"/>
  <c r="L173" i="40"/>
  <c r="M173" i="40" s="1"/>
  <c r="K173" i="40"/>
  <c r="L172" i="40"/>
  <c r="M172" i="40" s="1"/>
  <c r="K172" i="40"/>
  <c r="L171" i="40"/>
  <c r="M171" i="40" s="1"/>
  <c r="K171" i="40"/>
  <c r="L170" i="40"/>
  <c r="M170" i="40" s="1"/>
  <c r="K170" i="40"/>
  <c r="L169" i="40"/>
  <c r="M169" i="40" s="1"/>
  <c r="K169" i="40"/>
  <c r="L168" i="40"/>
  <c r="M168" i="40" s="1"/>
  <c r="K168" i="40"/>
  <c r="L167" i="40"/>
  <c r="M167" i="40" s="1"/>
  <c r="K167" i="40"/>
  <c r="L166" i="40"/>
  <c r="M166" i="40" s="1"/>
  <c r="K166" i="40"/>
  <c r="L165" i="40"/>
  <c r="M165" i="40" s="1"/>
  <c r="K165" i="40"/>
  <c r="L164" i="40"/>
  <c r="M164" i="40" s="1"/>
  <c r="K164" i="40"/>
  <c r="L163" i="40"/>
  <c r="M163" i="40" s="1"/>
  <c r="K163" i="40"/>
  <c r="L162" i="40"/>
  <c r="M162" i="40" s="1"/>
  <c r="K162" i="40"/>
  <c r="L161" i="40"/>
  <c r="M161" i="40" s="1"/>
  <c r="K161" i="40"/>
  <c r="L160" i="40"/>
  <c r="M160" i="40" s="1"/>
  <c r="K160" i="40"/>
  <c r="L159" i="40"/>
  <c r="M159" i="40" s="1"/>
  <c r="K159" i="40"/>
  <c r="L158" i="40"/>
  <c r="M158" i="40" s="1"/>
  <c r="K158" i="40"/>
  <c r="L157" i="40"/>
  <c r="M157" i="40" s="1"/>
  <c r="K157" i="40"/>
  <c r="L156" i="40"/>
  <c r="M156" i="40" s="1"/>
  <c r="K156" i="40"/>
  <c r="L155" i="40"/>
  <c r="M155" i="40" s="1"/>
  <c r="K155" i="40"/>
  <c r="L154" i="40"/>
  <c r="M154" i="40" s="1"/>
  <c r="J154" i="40" s="1"/>
  <c r="K154" i="40"/>
  <c r="L146" i="40"/>
  <c r="M146" i="40" s="1"/>
  <c r="K146" i="40"/>
  <c r="L145" i="40"/>
  <c r="M145" i="40" s="1"/>
  <c r="K145" i="40"/>
  <c r="L144" i="40"/>
  <c r="M144" i="40" s="1"/>
  <c r="K144" i="40"/>
  <c r="L143" i="40"/>
  <c r="M143" i="40" s="1"/>
  <c r="J143" i="40" s="1"/>
  <c r="K143" i="40"/>
  <c r="L141" i="40"/>
  <c r="M141" i="40" s="1"/>
  <c r="K141" i="40"/>
  <c r="L140" i="40"/>
  <c r="M140" i="40" s="1"/>
  <c r="K140" i="40"/>
  <c r="L139" i="40"/>
  <c r="M139" i="40" s="1"/>
  <c r="K139" i="40"/>
  <c r="L138" i="40"/>
  <c r="M138" i="40" s="1"/>
  <c r="K138" i="40"/>
  <c r="L137" i="40"/>
  <c r="M137" i="40" s="1"/>
  <c r="K137" i="40"/>
  <c r="L136" i="40"/>
  <c r="M136" i="40" s="1"/>
  <c r="J136" i="40" s="1"/>
  <c r="K136" i="40"/>
  <c r="L134" i="40"/>
  <c r="M134" i="40" s="1"/>
  <c r="J134" i="40" s="1"/>
  <c r="K134" i="40"/>
  <c r="L132" i="40"/>
  <c r="M132" i="40" s="1"/>
  <c r="J132" i="40" s="1"/>
  <c r="K132" i="40"/>
  <c r="L130" i="40"/>
  <c r="M130" i="40" s="1"/>
  <c r="K130" i="40"/>
  <c r="L129" i="40"/>
  <c r="M129" i="40" s="1"/>
  <c r="K129" i="40"/>
  <c r="L128" i="40"/>
  <c r="M128" i="40" s="1"/>
  <c r="K128" i="40"/>
  <c r="L127" i="40"/>
  <c r="M127" i="40" s="1"/>
  <c r="K127" i="40"/>
  <c r="L126" i="40"/>
  <c r="M126" i="40" s="1"/>
  <c r="K126" i="40"/>
  <c r="L125" i="40"/>
  <c r="M125" i="40" s="1"/>
  <c r="K125" i="40"/>
  <c r="L124" i="40"/>
  <c r="M124" i="40" s="1"/>
  <c r="K124" i="40"/>
  <c r="L123" i="40"/>
  <c r="M123" i="40" s="1"/>
  <c r="K123" i="40"/>
  <c r="L122" i="40"/>
  <c r="M122" i="40" s="1"/>
  <c r="K122" i="40"/>
  <c r="L121" i="40"/>
  <c r="M121" i="40" s="1"/>
  <c r="K121" i="40"/>
  <c r="L120" i="40"/>
  <c r="M120" i="40" s="1"/>
  <c r="K120" i="40"/>
  <c r="L119" i="40"/>
  <c r="M119" i="40" s="1"/>
  <c r="K119" i="40"/>
  <c r="L118" i="40"/>
  <c r="M118" i="40" s="1"/>
  <c r="K118" i="40"/>
  <c r="L117" i="40"/>
  <c r="M117" i="40" s="1"/>
  <c r="K117" i="40"/>
  <c r="L116" i="40"/>
  <c r="M116" i="40" s="1"/>
  <c r="K116" i="40"/>
  <c r="L115" i="40"/>
  <c r="M115" i="40" s="1"/>
  <c r="K115" i="40"/>
  <c r="L114" i="40"/>
  <c r="M114" i="40" s="1"/>
  <c r="K114" i="40"/>
  <c r="L113" i="40"/>
  <c r="M113" i="40" s="1"/>
  <c r="K113" i="40"/>
  <c r="L112" i="40"/>
  <c r="M112" i="40" s="1"/>
  <c r="K112" i="40"/>
  <c r="L111" i="40"/>
  <c r="M111" i="40" s="1"/>
  <c r="K111" i="40"/>
  <c r="L110" i="40"/>
  <c r="M110" i="40" s="1"/>
  <c r="J110" i="40" s="1"/>
  <c r="K110" i="40"/>
  <c r="L102" i="40"/>
  <c r="M102" i="40" s="1"/>
  <c r="J102" i="40" s="1"/>
  <c r="K102" i="40"/>
  <c r="L101" i="40"/>
  <c r="M101" i="40" s="1"/>
  <c r="J101" i="40" s="1"/>
  <c r="K101" i="40"/>
  <c r="L100" i="40"/>
  <c r="M100" i="40" s="1"/>
  <c r="J100" i="40" s="1"/>
  <c r="K100" i="40"/>
  <c r="L98" i="40"/>
  <c r="M98" i="40" s="1"/>
  <c r="J98" i="40" s="1"/>
  <c r="K98" i="40"/>
  <c r="L97" i="40"/>
  <c r="M97" i="40" s="1"/>
  <c r="J97" i="40" s="1"/>
  <c r="K97" i="40"/>
  <c r="L96" i="40"/>
  <c r="M96" i="40" s="1"/>
  <c r="J96" i="40" s="1"/>
  <c r="K96" i="40"/>
  <c r="L94" i="40"/>
  <c r="M94" i="40" s="1"/>
  <c r="J94" i="40" s="1"/>
  <c r="K94" i="40"/>
  <c r="L92" i="40"/>
  <c r="M92" i="40" s="1"/>
  <c r="J92" i="40" s="1"/>
  <c r="K92" i="40"/>
  <c r="M90" i="40"/>
  <c r="J90" i="40" s="1"/>
  <c r="L90" i="40"/>
  <c r="K90" i="40"/>
  <c r="L88" i="40"/>
  <c r="M88" i="40" s="1"/>
  <c r="J88" i="40" s="1"/>
  <c r="K88" i="40"/>
  <c r="L87" i="40"/>
  <c r="M87" i="40" s="1"/>
  <c r="J87" i="40" s="1"/>
  <c r="K87" i="40"/>
  <c r="M85" i="40"/>
  <c r="J85" i="40" s="1"/>
  <c r="L85" i="40"/>
  <c r="K85" i="40"/>
  <c r="L84" i="40"/>
  <c r="M84" i="40" s="1"/>
  <c r="J84" i="40" s="1"/>
  <c r="K84" i="40"/>
  <c r="M83" i="40"/>
  <c r="J83" i="40" s="1"/>
  <c r="L83" i="40"/>
  <c r="K83" i="40"/>
  <c r="M82" i="40"/>
  <c r="J82" i="40" s="1"/>
  <c r="L82" i="40"/>
  <c r="K82" i="40"/>
  <c r="M81" i="40"/>
  <c r="J81" i="40" s="1"/>
  <c r="L81" i="40"/>
  <c r="K81" i="40"/>
  <c r="M80" i="40"/>
  <c r="J80" i="40" s="1"/>
  <c r="L80" i="40"/>
  <c r="K80" i="40"/>
  <c r="M79" i="40"/>
  <c r="J79" i="40" s="1"/>
  <c r="L79" i="40"/>
  <c r="K79" i="40"/>
  <c r="M78" i="40"/>
  <c r="J78" i="40" s="1"/>
  <c r="L78" i="40"/>
  <c r="K78" i="40"/>
  <c r="M77" i="40"/>
  <c r="J77" i="40" s="1"/>
  <c r="L77" i="40"/>
  <c r="K77" i="40"/>
  <c r="M76" i="40"/>
  <c r="J76" i="40" s="1"/>
  <c r="L76" i="40"/>
  <c r="K76" i="40"/>
  <c r="M75" i="40"/>
  <c r="J75" i="40" s="1"/>
  <c r="L75" i="40"/>
  <c r="K75" i="40"/>
  <c r="M74" i="40"/>
  <c r="J74" i="40" s="1"/>
  <c r="L74" i="40"/>
  <c r="K74" i="40"/>
  <c r="M73" i="40"/>
  <c r="J73" i="40" s="1"/>
  <c r="L73" i="40"/>
  <c r="K73" i="40"/>
  <c r="M72" i="40"/>
  <c r="J72" i="40" s="1"/>
  <c r="L72" i="40"/>
  <c r="K72" i="40"/>
  <c r="M71" i="40"/>
  <c r="J71" i="40" s="1"/>
  <c r="L71" i="40"/>
  <c r="K71" i="40"/>
  <c r="M70" i="40"/>
  <c r="J70" i="40" s="1"/>
  <c r="L70" i="40"/>
  <c r="K70" i="40"/>
  <c r="M69" i="40"/>
  <c r="J69" i="40" s="1"/>
  <c r="L69" i="40"/>
  <c r="K69" i="40"/>
  <c r="M68" i="40"/>
  <c r="J68" i="40" s="1"/>
  <c r="L68" i="40"/>
  <c r="K68" i="40"/>
  <c r="M67" i="40"/>
  <c r="J67" i="40" s="1"/>
  <c r="L67" i="40"/>
  <c r="K67" i="40"/>
  <c r="M66" i="40"/>
  <c r="J66" i="40" s="1"/>
  <c r="L66" i="40"/>
  <c r="K66" i="40"/>
  <c r="L65" i="40"/>
  <c r="M65" i="40" s="1"/>
  <c r="J65" i="40" s="1"/>
  <c r="K65" i="40"/>
  <c r="K89" i="39" l="1"/>
  <c r="K88" i="39"/>
  <c r="K87" i="39"/>
  <c r="K86" i="39"/>
  <c r="K85" i="39"/>
  <c r="K84" i="39"/>
  <c r="K81" i="39"/>
  <c r="K80" i="39"/>
  <c r="K79" i="39"/>
  <c r="K76" i="39"/>
  <c r="K69" i="39"/>
  <c r="K68" i="39"/>
  <c r="K67" i="39"/>
  <c r="K66" i="39"/>
  <c r="K65" i="39"/>
  <c r="K64" i="39"/>
  <c r="K61" i="39"/>
  <c r="K60" i="39"/>
  <c r="K59" i="39"/>
  <c r="K56" i="39"/>
  <c r="K49" i="39"/>
  <c r="K48" i="39"/>
  <c r="K47" i="39"/>
  <c r="K46" i="39"/>
  <c r="K45" i="39"/>
  <c r="K44" i="39"/>
  <c r="K41" i="39"/>
  <c r="K40" i="39"/>
  <c r="K39" i="39"/>
  <c r="K36" i="39"/>
  <c r="K29" i="39"/>
  <c r="K28" i="39"/>
  <c r="K27" i="39"/>
  <c r="K26" i="39"/>
  <c r="K25" i="39"/>
  <c r="K24" i="39"/>
  <c r="K21" i="39"/>
  <c r="K20" i="39"/>
  <c r="K19" i="39"/>
  <c r="K16" i="39"/>
  <c r="J58" i="40"/>
  <c r="J57" i="40"/>
  <c r="J56" i="40"/>
  <c r="J55" i="40"/>
  <c r="J54" i="40"/>
  <c r="J52" i="40"/>
  <c r="J51" i="40"/>
  <c r="J50" i="40"/>
  <c r="J49" i="40"/>
  <c r="J48" i="40"/>
  <c r="J46" i="40"/>
  <c r="J44" i="40"/>
  <c r="J42" i="40"/>
  <c r="J40" i="40"/>
  <c r="J39" i="40"/>
  <c r="J17" i="40"/>
  <c r="J18" i="40"/>
  <c r="J19" i="40"/>
  <c r="J20" i="40"/>
  <c r="J21" i="40"/>
  <c r="J22" i="40"/>
  <c r="J23" i="40"/>
  <c r="J24" i="40"/>
  <c r="J25" i="40"/>
  <c r="J26" i="40"/>
  <c r="J27" i="40"/>
  <c r="J28" i="40"/>
  <c r="J29" i="40"/>
  <c r="J30" i="40"/>
  <c r="J31" i="40"/>
  <c r="J32" i="40"/>
  <c r="J33" i="40"/>
  <c r="J34" i="40"/>
  <c r="J35" i="40"/>
  <c r="J36" i="40"/>
  <c r="J37" i="40"/>
  <c r="J16" i="40"/>
  <c r="M58" i="40"/>
  <c r="M57" i="40"/>
  <c r="M56" i="40"/>
  <c r="M55" i="40"/>
  <c r="M54" i="40"/>
  <c r="M52" i="40"/>
  <c r="M51" i="40"/>
  <c r="M50" i="40"/>
  <c r="M49" i="40"/>
  <c r="M48" i="40"/>
  <c r="M46" i="40"/>
  <c r="M44" i="40"/>
  <c r="M42" i="40"/>
  <c r="M40" i="40"/>
  <c r="M39" i="40"/>
  <c r="M17" i="40"/>
  <c r="M18" i="40"/>
  <c r="M19" i="40"/>
  <c r="M20" i="40"/>
  <c r="M21" i="40"/>
  <c r="M22" i="40"/>
  <c r="M23" i="40"/>
  <c r="M24" i="40"/>
  <c r="M25" i="40"/>
  <c r="M26" i="40"/>
  <c r="M27" i="40"/>
  <c r="M28" i="40"/>
  <c r="M29" i="40"/>
  <c r="M30" i="40"/>
  <c r="M31" i="40"/>
  <c r="M32" i="40"/>
  <c r="M33" i="40"/>
  <c r="M34" i="40"/>
  <c r="M35" i="40"/>
  <c r="M36" i="40"/>
  <c r="M37" i="40"/>
  <c r="M16" i="40"/>
  <c r="G50" i="40"/>
  <c r="G51" i="40"/>
  <c r="H283" i="40" l="1"/>
  <c r="H282" i="40"/>
  <c r="H281" i="40"/>
  <c r="H280" i="40"/>
  <c r="H279" i="40"/>
  <c r="H271" i="40"/>
  <c r="H269" i="40"/>
  <c r="H261" i="40"/>
  <c r="H260" i="40"/>
  <c r="H252" i="40"/>
  <c r="H251" i="40"/>
  <c r="H250" i="40"/>
  <c r="H249" i="40"/>
  <c r="H248" i="40"/>
  <c r="H247" i="40"/>
  <c r="H246" i="40"/>
  <c r="H245" i="40"/>
  <c r="H244" i="40"/>
  <c r="H243" i="40"/>
  <c r="H242" i="40"/>
  <c r="H234" i="40"/>
  <c r="H233" i="40"/>
  <c r="H232" i="40"/>
  <c r="H222" i="40"/>
  <c r="H220" i="40"/>
  <c r="H215" i="40"/>
  <c r="H214" i="40"/>
  <c r="H206" i="40"/>
  <c r="H205" i="40"/>
  <c r="H204" i="40"/>
  <c r="H203" i="40"/>
  <c r="H202" i="40"/>
  <c r="H201" i="40"/>
  <c r="H200" i="40"/>
  <c r="H199" i="40"/>
  <c r="H207" i="40" s="1"/>
  <c r="H198" i="40"/>
  <c r="I51" i="40"/>
  <c r="K51" i="40"/>
  <c r="I50" i="40"/>
  <c r="K50" i="40"/>
  <c r="K16" i="40"/>
  <c r="G58" i="40"/>
  <c r="G57" i="40"/>
  <c r="G56" i="40"/>
  <c r="G55" i="40"/>
  <c r="G54" i="40"/>
  <c r="G52" i="40"/>
  <c r="G49" i="40"/>
  <c r="G48" i="40"/>
  <c r="G46" i="40"/>
  <c r="G44" i="40"/>
  <c r="G42" i="40"/>
  <c r="G40" i="40"/>
  <c r="G39" i="40"/>
  <c r="G37" i="40"/>
  <c r="G36" i="40"/>
  <c r="G35" i="40"/>
  <c r="G34" i="40"/>
  <c r="G33" i="40"/>
  <c r="G32" i="40"/>
  <c r="G31" i="40"/>
  <c r="G30" i="40"/>
  <c r="G29" i="40"/>
  <c r="G28" i="40"/>
  <c r="G27" i="40"/>
  <c r="G26" i="40"/>
  <c r="G25" i="40"/>
  <c r="G24" i="40"/>
  <c r="G23" i="40"/>
  <c r="G22" i="40"/>
  <c r="G21" i="40"/>
  <c r="G20" i="40"/>
  <c r="G19" i="40"/>
  <c r="G18" i="40"/>
  <c r="G17" i="40"/>
  <c r="G16" i="40"/>
  <c r="G102" i="40"/>
  <c r="G101" i="40"/>
  <c r="G100" i="40"/>
  <c r="G98" i="40"/>
  <c r="G97" i="40"/>
  <c r="G96" i="40"/>
  <c r="G94" i="40"/>
  <c r="G92" i="40"/>
  <c r="G90" i="40"/>
  <c r="G88" i="40"/>
  <c r="G87" i="40"/>
  <c r="G85" i="40"/>
  <c r="G84" i="40"/>
  <c r="G83" i="40"/>
  <c r="G82" i="40"/>
  <c r="G81" i="40"/>
  <c r="G80" i="40"/>
  <c r="G79" i="40"/>
  <c r="G78" i="40"/>
  <c r="G77" i="40"/>
  <c r="G76" i="40"/>
  <c r="G75" i="40"/>
  <c r="G74" i="40"/>
  <c r="G73" i="40"/>
  <c r="G72" i="40"/>
  <c r="G71" i="40"/>
  <c r="G70" i="40"/>
  <c r="G69" i="40"/>
  <c r="G68" i="40"/>
  <c r="G67" i="40"/>
  <c r="G66" i="40"/>
  <c r="G65" i="40"/>
  <c r="G146" i="40"/>
  <c r="G145" i="40"/>
  <c r="G144" i="40"/>
  <c r="G143" i="40"/>
  <c r="G141" i="40"/>
  <c r="G140" i="40"/>
  <c r="G139" i="40"/>
  <c r="G138" i="40"/>
  <c r="G137" i="40"/>
  <c r="G136" i="40"/>
  <c r="G134" i="40"/>
  <c r="G132" i="40"/>
  <c r="G130" i="40"/>
  <c r="G129" i="40"/>
  <c r="G128" i="40"/>
  <c r="G127" i="40"/>
  <c r="G126" i="40"/>
  <c r="G125" i="40"/>
  <c r="G124" i="40"/>
  <c r="G123" i="40"/>
  <c r="G122" i="40"/>
  <c r="G121" i="40"/>
  <c r="G120" i="40"/>
  <c r="G119" i="40"/>
  <c r="G118" i="40"/>
  <c r="G117" i="40"/>
  <c r="G116" i="40"/>
  <c r="G115" i="40"/>
  <c r="G114" i="40"/>
  <c r="G113" i="40"/>
  <c r="G112" i="40"/>
  <c r="G111" i="40"/>
  <c r="G110" i="40"/>
  <c r="G190" i="40"/>
  <c r="G189" i="40"/>
  <c r="G188" i="40"/>
  <c r="G187" i="40"/>
  <c r="G185" i="40"/>
  <c r="G184" i="40"/>
  <c r="G183" i="40"/>
  <c r="G182" i="40"/>
  <c r="G181" i="40"/>
  <c r="G180" i="40"/>
  <c r="G178" i="40"/>
  <c r="G174" i="40"/>
  <c r="G173" i="40"/>
  <c r="G172" i="40"/>
  <c r="G171" i="40"/>
  <c r="G170" i="40"/>
  <c r="G169" i="40"/>
  <c r="G168" i="40"/>
  <c r="G167" i="40"/>
  <c r="G166" i="40"/>
  <c r="G165" i="40"/>
  <c r="G164" i="40"/>
  <c r="G163" i="40"/>
  <c r="G162" i="40"/>
  <c r="G161" i="40"/>
  <c r="G160" i="40"/>
  <c r="G159" i="40"/>
  <c r="G158" i="40"/>
  <c r="G157" i="40"/>
  <c r="G156" i="40"/>
  <c r="G155" i="40"/>
  <c r="G154" i="40"/>
  <c r="G234" i="40"/>
  <c r="G233" i="40"/>
  <c r="G232" i="40"/>
  <c r="G231" i="40"/>
  <c r="G229" i="40"/>
  <c r="G228" i="40"/>
  <c r="G227" i="40"/>
  <c r="G226" i="40"/>
  <c r="G225" i="40"/>
  <c r="G224" i="40"/>
  <c r="G222" i="40"/>
  <c r="G220" i="40"/>
  <c r="G218" i="40"/>
  <c r="G217" i="40"/>
  <c r="G216" i="40"/>
  <c r="G215" i="40"/>
  <c r="G214" i="40"/>
  <c r="G213" i="40"/>
  <c r="G212" i="40"/>
  <c r="G211" i="40"/>
  <c r="G210" i="40"/>
  <c r="G209" i="40"/>
  <c r="G208" i="40"/>
  <c r="G207" i="40"/>
  <c r="G206" i="40"/>
  <c r="G205" i="40"/>
  <c r="G204" i="40"/>
  <c r="G203" i="40"/>
  <c r="G202" i="40"/>
  <c r="G201" i="40"/>
  <c r="G200" i="40"/>
  <c r="G199" i="40"/>
  <c r="G198" i="40"/>
  <c r="G283" i="40"/>
  <c r="G282" i="40"/>
  <c r="G281" i="40"/>
  <c r="G280" i="40"/>
  <c r="G279" i="40"/>
  <c r="G277" i="40"/>
  <c r="G276" i="40"/>
  <c r="G275" i="40"/>
  <c r="G273" i="40"/>
  <c r="G271" i="40"/>
  <c r="G269" i="40"/>
  <c r="G267" i="40"/>
  <c r="G266" i="40"/>
  <c r="G264" i="40"/>
  <c r="G263" i="40"/>
  <c r="G262" i="40"/>
  <c r="G261" i="40"/>
  <c r="G260" i="40"/>
  <c r="G259" i="40"/>
  <c r="G258" i="40"/>
  <c r="G257" i="40"/>
  <c r="G256" i="40"/>
  <c r="G255" i="40"/>
  <c r="G254" i="40"/>
  <c r="G253" i="40"/>
  <c r="G252" i="40"/>
  <c r="G251" i="40"/>
  <c r="G250" i="40"/>
  <c r="G249" i="40"/>
  <c r="G248" i="40"/>
  <c r="G247" i="40"/>
  <c r="G246" i="40"/>
  <c r="G245" i="40"/>
  <c r="G244" i="40"/>
  <c r="G243" i="40"/>
  <c r="G242" i="40"/>
  <c r="G89" i="39"/>
  <c r="G88" i="39"/>
  <c r="G87" i="39"/>
  <c r="G86" i="39"/>
  <c r="G85" i="39"/>
  <c r="G84" i="39"/>
  <c r="G81" i="39"/>
  <c r="G80" i="39"/>
  <c r="G79" i="39"/>
  <c r="G76" i="39"/>
  <c r="G69" i="39"/>
  <c r="G68" i="39"/>
  <c r="G67" i="39"/>
  <c r="G66" i="39"/>
  <c r="G65" i="39"/>
  <c r="G64" i="39"/>
  <c r="G61" i="39"/>
  <c r="G60" i="39"/>
  <c r="G59" i="39"/>
  <c r="G56" i="39"/>
  <c r="G70" i="39" s="1"/>
  <c r="G49" i="39"/>
  <c r="G48" i="39"/>
  <c r="G47" i="39"/>
  <c r="G46" i="39"/>
  <c r="G45" i="39"/>
  <c r="G44" i="39"/>
  <c r="G41" i="39"/>
  <c r="G40" i="39"/>
  <c r="G39" i="39"/>
  <c r="G36" i="39"/>
  <c r="G50" i="39" s="1"/>
  <c r="G29" i="39"/>
  <c r="G28" i="39"/>
  <c r="G27" i="39"/>
  <c r="G26" i="39"/>
  <c r="G25" i="39"/>
  <c r="G24" i="39"/>
  <c r="G21" i="39"/>
  <c r="G20" i="39"/>
  <c r="G19" i="39"/>
  <c r="G16" i="39"/>
  <c r="I79" i="39"/>
  <c r="L79" i="39" s="1"/>
  <c r="M79" i="39" s="1"/>
  <c r="J79" i="39" s="1"/>
  <c r="I80" i="39"/>
  <c r="L80" i="39" s="1"/>
  <c r="M80" i="39" s="1"/>
  <c r="I81" i="39"/>
  <c r="L81" i="39" s="1"/>
  <c r="M81" i="39" s="1"/>
  <c r="I84" i="39"/>
  <c r="L84" i="39" s="1"/>
  <c r="M84" i="39" s="1"/>
  <c r="J84" i="39" s="1"/>
  <c r="I85" i="39"/>
  <c r="L85" i="39" s="1"/>
  <c r="M85" i="39" s="1"/>
  <c r="J85" i="39" s="1"/>
  <c r="I86" i="39"/>
  <c r="L86" i="39" s="1"/>
  <c r="M86" i="39" s="1"/>
  <c r="J86" i="39" s="1"/>
  <c r="I87" i="39"/>
  <c r="L87" i="39" s="1"/>
  <c r="M87" i="39" s="1"/>
  <c r="J87" i="39" s="1"/>
  <c r="I88" i="39"/>
  <c r="L88" i="39" s="1"/>
  <c r="M88" i="39" s="1"/>
  <c r="J88" i="39" s="1"/>
  <c r="I89" i="39"/>
  <c r="L89" i="39" s="1"/>
  <c r="J89" i="39" s="1"/>
  <c r="I76" i="39"/>
  <c r="L76" i="39" s="1"/>
  <c r="M76" i="39" s="1"/>
  <c r="J76" i="39" s="1"/>
  <c r="I59" i="39"/>
  <c r="L59" i="39" s="1"/>
  <c r="M59" i="39" s="1"/>
  <c r="I60" i="39"/>
  <c r="L60" i="39" s="1"/>
  <c r="M60" i="39" s="1"/>
  <c r="J60" i="39" s="1"/>
  <c r="I61" i="39"/>
  <c r="L61" i="39" s="1"/>
  <c r="M61" i="39" s="1"/>
  <c r="J61" i="39" s="1"/>
  <c r="I64" i="39"/>
  <c r="L64" i="39" s="1"/>
  <c r="M64" i="39" s="1"/>
  <c r="J64" i="39" s="1"/>
  <c r="I65" i="39"/>
  <c r="L65" i="39" s="1"/>
  <c r="M65" i="39" s="1"/>
  <c r="J65" i="39" s="1"/>
  <c r="I66" i="39"/>
  <c r="L66" i="39" s="1"/>
  <c r="M66" i="39" s="1"/>
  <c r="J66" i="39" s="1"/>
  <c r="I67" i="39"/>
  <c r="L67" i="39" s="1"/>
  <c r="M67" i="39" s="1"/>
  <c r="J67" i="39" s="1"/>
  <c r="I68" i="39"/>
  <c r="L68" i="39" s="1"/>
  <c r="M68" i="39" s="1"/>
  <c r="I69" i="39"/>
  <c r="L69" i="39" s="1"/>
  <c r="M69" i="39" s="1"/>
  <c r="J69" i="39" s="1"/>
  <c r="I56" i="39"/>
  <c r="L56" i="39" s="1"/>
  <c r="M56" i="39" s="1"/>
  <c r="J56" i="39" s="1"/>
  <c r="I39" i="39"/>
  <c r="L39" i="39" s="1"/>
  <c r="M39" i="39" s="1"/>
  <c r="J39" i="39" s="1"/>
  <c r="I40" i="39"/>
  <c r="L40" i="39" s="1"/>
  <c r="M40" i="39" s="1"/>
  <c r="J40" i="39" s="1"/>
  <c r="I41" i="39"/>
  <c r="I44" i="39"/>
  <c r="L44" i="39" s="1"/>
  <c r="M44" i="39" s="1"/>
  <c r="J44" i="39" s="1"/>
  <c r="I45" i="39"/>
  <c r="L45" i="39" s="1"/>
  <c r="M45" i="39" s="1"/>
  <c r="J45" i="39" s="1"/>
  <c r="I46" i="39"/>
  <c r="L46" i="39" s="1"/>
  <c r="M46" i="39" s="1"/>
  <c r="I47" i="39"/>
  <c r="L47" i="39" s="1"/>
  <c r="M47" i="39" s="1"/>
  <c r="I48" i="39"/>
  <c r="L48" i="39" s="1"/>
  <c r="M48" i="39" s="1"/>
  <c r="I49" i="39"/>
  <c r="L49" i="39" s="1"/>
  <c r="M49" i="39" s="1"/>
  <c r="I36" i="39"/>
  <c r="L36" i="39" s="1"/>
  <c r="M36" i="39" s="1"/>
  <c r="J36" i="39" s="1"/>
  <c r="I19" i="39"/>
  <c r="L19" i="39" s="1"/>
  <c r="M19" i="39" s="1"/>
  <c r="J19" i="39" s="1"/>
  <c r="I20" i="39"/>
  <c r="L20" i="39" s="1"/>
  <c r="M20" i="39" s="1"/>
  <c r="J20" i="39" s="1"/>
  <c r="I21" i="39"/>
  <c r="L21" i="39" s="1"/>
  <c r="M21" i="39" s="1"/>
  <c r="J21" i="39" s="1"/>
  <c r="I24" i="39"/>
  <c r="L24" i="39" s="1"/>
  <c r="M24" i="39" s="1"/>
  <c r="I25" i="39"/>
  <c r="L25" i="39" s="1"/>
  <c r="M25" i="39" s="1"/>
  <c r="J25" i="39" s="1"/>
  <c r="I26" i="39"/>
  <c r="L26" i="39" s="1"/>
  <c r="M26" i="39" s="1"/>
  <c r="I27" i="39"/>
  <c r="L27" i="39" s="1"/>
  <c r="M27" i="39" s="1"/>
  <c r="I28" i="39"/>
  <c r="L28" i="39" s="1"/>
  <c r="M28" i="39" s="1"/>
  <c r="I29" i="39"/>
  <c r="L29" i="39" s="1"/>
  <c r="M29" i="39" s="1"/>
  <c r="I16" i="39"/>
  <c r="L16" i="39" s="1"/>
  <c r="M16" i="39" s="1"/>
  <c r="J16" i="39" s="1"/>
  <c r="K17" i="40"/>
  <c r="K34" i="40"/>
  <c r="K35" i="40"/>
  <c r="K39" i="40"/>
  <c r="K40" i="40"/>
  <c r="K42" i="40"/>
  <c r="K44" i="40"/>
  <c r="K46" i="40"/>
  <c r="K48" i="40"/>
  <c r="K49" i="40"/>
  <c r="K52" i="40"/>
  <c r="K54" i="40"/>
  <c r="I243" i="40"/>
  <c r="I244" i="40"/>
  <c r="I245" i="40"/>
  <c r="I246" i="40"/>
  <c r="I247" i="40"/>
  <c r="I248" i="40"/>
  <c r="I249" i="40"/>
  <c r="I250" i="40"/>
  <c r="I251" i="40"/>
  <c r="I252" i="40"/>
  <c r="I253" i="40"/>
  <c r="I254" i="40"/>
  <c r="I255" i="40"/>
  <c r="I256" i="40"/>
  <c r="I257" i="40"/>
  <c r="I258" i="40"/>
  <c r="I259" i="40"/>
  <c r="I260" i="40"/>
  <c r="I261" i="40"/>
  <c r="I262" i="40"/>
  <c r="I263" i="40"/>
  <c r="I264" i="40"/>
  <c r="I266" i="40"/>
  <c r="I267" i="40"/>
  <c r="I269" i="40"/>
  <c r="I271" i="40"/>
  <c r="I273" i="40"/>
  <c r="I275" i="40"/>
  <c r="I276" i="40"/>
  <c r="I277" i="40"/>
  <c r="I279" i="40"/>
  <c r="I280" i="40"/>
  <c r="I281" i="40"/>
  <c r="I282" i="40"/>
  <c r="I283" i="40"/>
  <c r="I242" i="40"/>
  <c r="I199" i="40"/>
  <c r="I200" i="40"/>
  <c r="I201" i="40"/>
  <c r="I202" i="40"/>
  <c r="I203" i="40"/>
  <c r="I204" i="40"/>
  <c r="I205" i="40"/>
  <c r="I206" i="40"/>
  <c r="I207" i="40"/>
  <c r="I208" i="40"/>
  <c r="I209" i="40"/>
  <c r="I210" i="40"/>
  <c r="I211" i="40"/>
  <c r="I212" i="40"/>
  <c r="I213" i="40"/>
  <c r="I214" i="40"/>
  <c r="I215" i="40"/>
  <c r="I216" i="40"/>
  <c r="I217" i="40"/>
  <c r="I218" i="40"/>
  <c r="I220" i="40"/>
  <c r="I222" i="40"/>
  <c r="I224" i="40"/>
  <c r="I225" i="40"/>
  <c r="I226" i="40"/>
  <c r="I227" i="40"/>
  <c r="I228" i="40"/>
  <c r="I229" i="40"/>
  <c r="I231" i="40"/>
  <c r="I232" i="40"/>
  <c r="I233" i="40"/>
  <c r="I234" i="40"/>
  <c r="I198" i="40"/>
  <c r="I155" i="40"/>
  <c r="I156" i="40"/>
  <c r="I157" i="40"/>
  <c r="I158" i="40"/>
  <c r="I159" i="40"/>
  <c r="I160" i="40"/>
  <c r="I161" i="40"/>
  <c r="I162" i="40"/>
  <c r="I163" i="40"/>
  <c r="I164" i="40"/>
  <c r="I165" i="40"/>
  <c r="I166" i="40"/>
  <c r="I167" i="40"/>
  <c r="I168" i="40"/>
  <c r="I169" i="40"/>
  <c r="I170" i="40"/>
  <c r="I171" i="40"/>
  <c r="I172" i="40"/>
  <c r="I173" i="40"/>
  <c r="I174" i="40"/>
  <c r="I176" i="40"/>
  <c r="I178" i="40"/>
  <c r="I180" i="40"/>
  <c r="I181" i="40"/>
  <c r="I182" i="40"/>
  <c r="I183" i="40"/>
  <c r="I184" i="40"/>
  <c r="I185" i="40"/>
  <c r="I187" i="40"/>
  <c r="I188" i="40"/>
  <c r="I189" i="40"/>
  <c r="I190" i="40"/>
  <c r="I154" i="40"/>
  <c r="I111" i="40"/>
  <c r="I112" i="40"/>
  <c r="I113" i="40"/>
  <c r="I114" i="40"/>
  <c r="I115" i="40"/>
  <c r="I116" i="40"/>
  <c r="I117" i="40"/>
  <c r="I118" i="40"/>
  <c r="I119" i="40"/>
  <c r="I120" i="40"/>
  <c r="I121" i="40"/>
  <c r="I122" i="40"/>
  <c r="I123" i="40"/>
  <c r="I124" i="40"/>
  <c r="I125" i="40"/>
  <c r="I126" i="40"/>
  <c r="I127" i="40"/>
  <c r="I128" i="40"/>
  <c r="I129" i="40"/>
  <c r="I130" i="40"/>
  <c r="I132" i="40"/>
  <c r="I134" i="40"/>
  <c r="I136" i="40"/>
  <c r="I137" i="40"/>
  <c r="I138" i="40"/>
  <c r="I139" i="40"/>
  <c r="I140" i="40"/>
  <c r="I141" i="40"/>
  <c r="I143" i="40"/>
  <c r="I144" i="40"/>
  <c r="I145" i="40"/>
  <c r="I146" i="40"/>
  <c r="I110" i="40"/>
  <c r="I66" i="40"/>
  <c r="I67" i="40"/>
  <c r="I68" i="40"/>
  <c r="I69" i="40"/>
  <c r="I70" i="40"/>
  <c r="I71" i="40"/>
  <c r="I72" i="40"/>
  <c r="I73" i="40"/>
  <c r="I74" i="40"/>
  <c r="I75" i="40"/>
  <c r="I76" i="40"/>
  <c r="I77" i="40"/>
  <c r="I78" i="40"/>
  <c r="I79" i="40"/>
  <c r="I80" i="40"/>
  <c r="I81" i="40"/>
  <c r="I82" i="40"/>
  <c r="I83" i="40"/>
  <c r="I84" i="40"/>
  <c r="I85" i="40"/>
  <c r="I87" i="40"/>
  <c r="I88" i="40"/>
  <c r="I90" i="40"/>
  <c r="I92" i="40"/>
  <c r="I94" i="40"/>
  <c r="I96" i="40"/>
  <c r="I97" i="40"/>
  <c r="I98" i="40"/>
  <c r="I100" i="40"/>
  <c r="I101" i="40"/>
  <c r="I102" i="40"/>
  <c r="I65" i="40"/>
  <c r="I17" i="40"/>
  <c r="I18" i="40"/>
  <c r="I19" i="40"/>
  <c r="I20" i="40"/>
  <c r="I21" i="40"/>
  <c r="I22" i="40"/>
  <c r="I23" i="40"/>
  <c r="I24" i="40"/>
  <c r="I25" i="40"/>
  <c r="I26" i="40"/>
  <c r="I27" i="40"/>
  <c r="I28" i="40"/>
  <c r="I29" i="40"/>
  <c r="I30" i="40"/>
  <c r="I31" i="40"/>
  <c r="I32" i="40"/>
  <c r="I33" i="40"/>
  <c r="I34" i="40"/>
  <c r="I35" i="40"/>
  <c r="L35" i="40" s="1"/>
  <c r="I36" i="40"/>
  <c r="I37" i="40"/>
  <c r="I39" i="40"/>
  <c r="I40" i="40"/>
  <c r="L40" i="40" s="1"/>
  <c r="I42" i="40"/>
  <c r="I44" i="40"/>
  <c r="I46" i="40"/>
  <c r="I48" i="40"/>
  <c r="I49" i="40"/>
  <c r="L49" i="40" s="1"/>
  <c r="I52" i="40"/>
  <c r="I54" i="40"/>
  <c r="I55" i="40"/>
  <c r="I56" i="40"/>
  <c r="L56" i="40" s="1"/>
  <c r="I57" i="40"/>
  <c r="I58" i="40"/>
  <c r="I16" i="40"/>
  <c r="H57" i="40"/>
  <c r="H73" i="40"/>
  <c r="H127" i="40"/>
  <c r="H25" i="40"/>
  <c r="H23" i="40"/>
  <c r="K23" i="40" s="1"/>
  <c r="H146" i="40"/>
  <c r="H155" i="40"/>
  <c r="H158" i="40"/>
  <c r="H170" i="40"/>
  <c r="H100" i="40"/>
  <c r="H116" i="40"/>
  <c r="H20" i="40"/>
  <c r="H178" i="40"/>
  <c r="H176" i="40"/>
  <c r="D7" i="43"/>
  <c r="D6" i="43"/>
  <c r="D5" i="43"/>
  <c r="D4" i="43"/>
  <c r="D7" i="40"/>
  <c r="D6" i="40"/>
  <c r="D5" i="40"/>
  <c r="D4" i="40"/>
  <c r="D7" i="39"/>
  <c r="D6" i="39"/>
  <c r="D5" i="39"/>
  <c r="D4" i="39"/>
  <c r="H159" i="40"/>
  <c r="H160" i="40"/>
  <c r="H171" i="40"/>
  <c r="H190" i="40"/>
  <c r="H188" i="40"/>
  <c r="H189" i="40"/>
  <c r="H162" i="40"/>
  <c r="H157" i="40"/>
  <c r="H156" i="40"/>
  <c r="H161" i="40"/>
  <c r="H154" i="40"/>
  <c r="H126" i="40"/>
  <c r="H145" i="40"/>
  <c r="H144" i="40"/>
  <c r="H132" i="40"/>
  <c r="H118" i="40"/>
  <c r="H117" i="40"/>
  <c r="H115" i="40"/>
  <c r="H120" i="40" s="1"/>
  <c r="H114" i="40"/>
  <c r="H113" i="40"/>
  <c r="H112" i="40"/>
  <c r="H111" i="40"/>
  <c r="H119" i="40" s="1"/>
  <c r="H110" i="40"/>
  <c r="H90" i="40"/>
  <c r="H82" i="40"/>
  <c r="H81" i="40"/>
  <c r="H72" i="40"/>
  <c r="H71" i="40"/>
  <c r="H70" i="40"/>
  <c r="H69" i="40"/>
  <c r="H68" i="40"/>
  <c r="H67" i="40"/>
  <c r="H66" i="40"/>
  <c r="H31" i="40"/>
  <c r="H55" i="40"/>
  <c r="K55" i="40" s="1"/>
  <c r="H56" i="40"/>
  <c r="K56" i="40"/>
  <c r="H33" i="40"/>
  <c r="K33" i="40" s="1"/>
  <c r="K25" i="40"/>
  <c r="H24" i="40"/>
  <c r="H22" i="40"/>
  <c r="K22" i="40" s="1"/>
  <c r="H21" i="40"/>
  <c r="K21" i="40" s="1"/>
  <c r="K20" i="40"/>
  <c r="H19" i="40"/>
  <c r="K19" i="40"/>
  <c r="H18" i="40"/>
  <c r="K18" i="40"/>
  <c r="L57" i="40"/>
  <c r="L58" i="40"/>
  <c r="H83" i="40"/>
  <c r="H262" i="40"/>
  <c r="H36" i="40"/>
  <c r="H216" i="40"/>
  <c r="H253" i="40"/>
  <c r="H255" i="40" s="1"/>
  <c r="H254" i="40"/>
  <c r="H258" i="40"/>
  <c r="H208" i="40"/>
  <c r="H210" i="40" s="1"/>
  <c r="G235" i="40"/>
  <c r="H212" i="40"/>
  <c r="H168" i="40"/>
  <c r="H172" i="40"/>
  <c r="G147" i="40"/>
  <c r="H101" i="40"/>
  <c r="H75" i="40"/>
  <c r="L54" i="40"/>
  <c r="L48" i="40"/>
  <c r="L44" i="40"/>
  <c r="L39" i="40"/>
  <c r="H37" i="40"/>
  <c r="K37" i="40" s="1"/>
  <c r="H27" i="40"/>
  <c r="K27" i="40" s="1"/>
  <c r="H26" i="40"/>
  <c r="K26" i="40" s="1"/>
  <c r="G176" i="40"/>
  <c r="J176" i="40" s="1"/>
  <c r="K36" i="40"/>
  <c r="H256" i="40"/>
  <c r="H169" i="40"/>
  <c r="H259" i="40"/>
  <c r="H264" i="40"/>
  <c r="H174" i="40"/>
  <c r="H209" i="40"/>
  <c r="H122" i="40"/>
  <c r="H77" i="40"/>
  <c r="H29" i="40"/>
  <c r="K29" i="40" s="1"/>
  <c r="H28" i="40"/>
  <c r="K28" i="40"/>
  <c r="J16" i="43"/>
  <c r="J18" i="43" s="1"/>
  <c r="L36" i="40"/>
  <c r="L32" i="40"/>
  <c r="L28" i="40"/>
  <c r="L24" i="40"/>
  <c r="L20" i="40"/>
  <c r="L31" i="40"/>
  <c r="L27" i="40"/>
  <c r="L23" i="40"/>
  <c r="L19" i="40"/>
  <c r="L16" i="40"/>
  <c r="L34" i="40"/>
  <c r="L30" i="40"/>
  <c r="L26" i="40"/>
  <c r="L22" i="40"/>
  <c r="L18" i="40"/>
  <c r="L37" i="40"/>
  <c r="L33" i="40"/>
  <c r="L29" i="40"/>
  <c r="L25" i="40"/>
  <c r="L21" i="40"/>
  <c r="L17" i="40"/>
  <c r="J59" i="39" l="1"/>
  <c r="J81" i="39"/>
  <c r="G90" i="39"/>
  <c r="G92" i="39" s="1"/>
  <c r="C14" i="41" s="1"/>
  <c r="J29" i="39"/>
  <c r="J27" i="39"/>
  <c r="J49" i="39"/>
  <c r="J48" i="39"/>
  <c r="J28" i="39"/>
  <c r="J26" i="39"/>
  <c r="J24" i="39"/>
  <c r="J46" i="39"/>
  <c r="J68" i="39"/>
  <c r="J80" i="39"/>
  <c r="J47" i="39"/>
  <c r="L41" i="39"/>
  <c r="M41" i="39" s="1"/>
  <c r="J41" i="39" s="1"/>
  <c r="D16" i="41"/>
  <c r="G191" i="40"/>
  <c r="L52" i="40"/>
  <c r="G59" i="40"/>
  <c r="L42" i="40"/>
  <c r="L51" i="40"/>
  <c r="M70" i="39"/>
  <c r="H58" i="40"/>
  <c r="K57" i="40"/>
  <c r="L55" i="40"/>
  <c r="J70" i="39"/>
  <c r="H134" i="40"/>
  <c r="K24" i="40"/>
  <c r="H32" i="40"/>
  <c r="K31" i="40"/>
  <c r="L46" i="40"/>
  <c r="H102" i="40"/>
  <c r="H79" i="40"/>
  <c r="H211" i="40"/>
  <c r="G30" i="39"/>
  <c r="G284" i="40"/>
  <c r="H257" i="40"/>
  <c r="H218" i="40"/>
  <c r="H213" i="40"/>
  <c r="H74" i="40"/>
  <c r="H121" i="40"/>
  <c r="H123" i="40"/>
  <c r="H163" i="40"/>
  <c r="G103" i="40"/>
  <c r="H164" i="40"/>
  <c r="H124" i="40"/>
  <c r="H128" i="40"/>
  <c r="L50" i="40"/>
  <c r="H30" i="40"/>
  <c r="K30" i="40" s="1"/>
  <c r="J50" i="39" l="1"/>
  <c r="M50" i="39"/>
  <c r="H130" i="40"/>
  <c r="H125" i="40"/>
  <c r="H129" i="40"/>
  <c r="M59" i="40"/>
  <c r="H263" i="40"/>
  <c r="H80" i="40"/>
  <c r="H85" i="40"/>
  <c r="M90" i="39"/>
  <c r="J90" i="39"/>
  <c r="H14" i="41" s="1"/>
  <c r="G286" i="40"/>
  <c r="C15" i="41" s="1"/>
  <c r="K58" i="40"/>
  <c r="H166" i="40"/>
  <c r="H76" i="40"/>
  <c r="K32" i="40"/>
  <c r="H217" i="40"/>
  <c r="H165" i="40"/>
  <c r="M30" i="39"/>
  <c r="J30" i="39"/>
  <c r="H18" i="41" l="1"/>
  <c r="G14" i="41"/>
  <c r="M92" i="39"/>
  <c r="E14" i="41" s="1"/>
  <c r="H167" i="40"/>
  <c r="H78" i="40"/>
  <c r="M235" i="40"/>
  <c r="J59" i="40"/>
  <c r="J235" i="40"/>
  <c r="J92" i="39"/>
  <c r="D14" i="41" s="1"/>
  <c r="H173" i="40" l="1"/>
  <c r="M147" i="40"/>
  <c r="J147" i="40"/>
  <c r="J284" i="40"/>
  <c r="H84" i="40"/>
  <c r="M284" i="40"/>
  <c r="M103" i="40" l="1"/>
  <c r="J191" i="40"/>
  <c r="J103" i="40" l="1"/>
  <c r="J286" i="40" s="1"/>
  <c r="D15" i="41" s="1"/>
  <c r="D18" i="41" s="1"/>
  <c r="M191" i="40"/>
  <c r="M286" i="40" s="1"/>
  <c r="E15" i="41" s="1"/>
  <c r="G16" i="43"/>
  <c r="G18" i="43" s="1"/>
  <c r="C16" i="41" s="1"/>
  <c r="C18" i="41" s="1"/>
  <c r="G14" i="43"/>
  <c r="I14" i="43"/>
  <c r="L14" i="43"/>
  <c r="M16" i="43" s="1"/>
  <c r="M18" i="43" s="1"/>
  <c r="E16" i="41" l="1"/>
  <c r="E18" i="41" s="1"/>
  <c r="G18" i="41" l="1"/>
</calcChain>
</file>

<file path=xl/sharedStrings.xml><?xml version="1.0" encoding="utf-8"?>
<sst xmlns="http://schemas.openxmlformats.org/spreadsheetml/2006/main" count="1385" uniqueCount="336">
  <si>
    <t>9</t>
  </si>
  <si>
    <t>Cena dle SOD</t>
  </si>
  <si>
    <t>NÁZEV AKCE :</t>
  </si>
  <si>
    <t xml:space="preserve">UCELENÁ ČÁST STAVBY : </t>
  </si>
  <si>
    <t>ČÍSLO SMLOUVY OBJEDNATELE :</t>
  </si>
  <si>
    <t>ČÍSLO SMLOUVY ZHOTOVITELE :</t>
  </si>
  <si>
    <t>OBJEDNATEL :</t>
  </si>
  <si>
    <t>ZHOTOVITEL :</t>
  </si>
  <si>
    <t>Rozdílový výkaz výměr k návrhu na změnu č. 1</t>
  </si>
  <si>
    <t>1.1</t>
  </si>
  <si>
    <t>Vícepráce - méněpráce</t>
  </si>
  <si>
    <t>Nová cena celkem</t>
  </si>
  <si>
    <t>Číslo pozice</t>
  </si>
  <si>
    <t>Popis</t>
  </si>
  <si>
    <t>MJ</t>
  </si>
  <si>
    <t>Množství</t>
  </si>
  <si>
    <t>J.C .</t>
  </si>
  <si>
    <t>Cena
celkem</t>
  </si>
  <si>
    <t xml:space="preserve">J.C. </t>
  </si>
  <si>
    <t>Cena 
celkem</t>
  </si>
  <si>
    <t>Změna celkem</t>
  </si>
  <si>
    <t>Zhotovitel:</t>
  </si>
  <si>
    <t xml:space="preserve">Správce stavby:        </t>
  </si>
  <si>
    <t>Autorský dozor:</t>
  </si>
  <si>
    <t>Objednatel:</t>
  </si>
  <si>
    <t>Dne:</t>
  </si>
  <si>
    <t xml:space="preserve">Dne:        </t>
  </si>
  <si>
    <t>R</t>
  </si>
  <si>
    <t>Odkanalizování povodí Jizery - část B</t>
  </si>
  <si>
    <t>Podchlumí, Výstavba kanalizace</t>
  </si>
  <si>
    <t>SO 01 - A   Kanalizační stoky gravitační - Stoka A</t>
  </si>
  <si>
    <t>Odpočet nerealizovaných živ.komunikací</t>
  </si>
  <si>
    <t>1</t>
  </si>
  <si>
    <t>Zemní práce</t>
  </si>
  <si>
    <t>20</t>
  </si>
  <si>
    <t>Frézování živičného krytu tl 40 mm pruh š 2 m pl do 1000 m2 bez překážek v trase</t>
  </si>
  <si>
    <t>M2</t>
  </si>
  <si>
    <t>5</t>
  </si>
  <si>
    <t>Komunikace</t>
  </si>
  <si>
    <t>65</t>
  </si>
  <si>
    <t>573231111</t>
  </si>
  <si>
    <t>Postřik živičný spojovací ze silniční emulze v množství do 0,7 kg/m2</t>
  </si>
  <si>
    <t>66</t>
  </si>
  <si>
    <t>Asfaltový beton vrstva obrusná ACO 11 (ABS) tř. I tl 40 mm š do 3 m z nemodifikovaného asfaltu</t>
  </si>
  <si>
    <t>67</t>
  </si>
  <si>
    <t>577146111</t>
  </si>
  <si>
    <t>Asfaltový beton vrstva ložní ACL 22 (ABVH) tl 50 mm š do 3 m z nemodifikovaného asfaltu</t>
  </si>
  <si>
    <t>Ostatní konstrukce a práce</t>
  </si>
  <si>
    <t>107</t>
  </si>
  <si>
    <t>919735111</t>
  </si>
  <si>
    <t>Řezání stávajícího živičného krytu hl do 50 mm</t>
  </si>
  <si>
    <t>M</t>
  </si>
  <si>
    <t>109</t>
  </si>
  <si>
    <t>928621012</t>
  </si>
  <si>
    <t>Zálivka asfaltová mezi novým a starým asfalt. povrchem</t>
  </si>
  <si>
    <t>110</t>
  </si>
  <si>
    <t>997002611</t>
  </si>
  <si>
    <t>Nakládání suti a vybouraných hmot</t>
  </si>
  <si>
    <t>T</t>
  </si>
  <si>
    <t>111</t>
  </si>
  <si>
    <t>997223845</t>
  </si>
  <si>
    <t>Poplatek za uložení na skládce (skládkovné) odpadu asfaltového bez dehtu kód odpadu 170 302</t>
  </si>
  <si>
    <t>121</t>
  </si>
  <si>
    <t>R.09.001</t>
  </si>
  <si>
    <t>Vodorovná doprava suti a vybouraných hmot po suchu</t>
  </si>
  <si>
    <t>122</t>
  </si>
  <si>
    <t>R.09-002</t>
  </si>
  <si>
    <t>SO 01 - A1   Kanalizační stoky gravitační - Stoka A1</t>
  </si>
  <si>
    <t>40</t>
  </si>
  <si>
    <t>41</t>
  </si>
  <si>
    <t>42</t>
  </si>
  <si>
    <t>69</t>
  </si>
  <si>
    <t>71</t>
  </si>
  <si>
    <t>72</t>
  </si>
  <si>
    <t>73</t>
  </si>
  <si>
    <t>83</t>
  </si>
  <si>
    <t>84</t>
  </si>
  <si>
    <t>1.2</t>
  </si>
  <si>
    <t>SO 02 - Kanalizační přípojky</t>
  </si>
  <si>
    <t>1.3</t>
  </si>
  <si>
    <t>53</t>
  </si>
  <si>
    <t>54</t>
  </si>
  <si>
    <t>55</t>
  </si>
  <si>
    <t>77</t>
  </si>
  <si>
    <t>80</t>
  </si>
  <si>
    <t>81</t>
  </si>
  <si>
    <t>92</t>
  </si>
  <si>
    <t>93</t>
  </si>
  <si>
    <t>SO 03 - V1 - Přeložky vodovodních řadů - Řad V1</t>
  </si>
  <si>
    <t>1.4</t>
  </si>
  <si>
    <t>85</t>
  </si>
  <si>
    <t>87</t>
  </si>
  <si>
    <t>89</t>
  </si>
  <si>
    <t>100</t>
  </si>
  <si>
    <t>90</t>
  </si>
  <si>
    <t>101</t>
  </si>
  <si>
    <t>číslo ZL</t>
  </si>
  <si>
    <t>popis</t>
  </si>
  <si>
    <t>cenový dopad (Kč bez DPH)</t>
  </si>
  <si>
    <t>cena dle SoD</t>
  </si>
  <si>
    <t>Vícepráce - Méněpráce</t>
  </si>
  <si>
    <t>Celkem:</t>
  </si>
  <si>
    <t>Přípočet odstranění nelegální komunální skládky na pozemku č.parc. 1153/9, k.ú. Mladá Boleslav</t>
  </si>
  <si>
    <t>Rozdílový výkaz výměr k návrhu na změnu č. 3</t>
  </si>
  <si>
    <t>3.1</t>
  </si>
  <si>
    <t>Skládkovné - uložení odpadu kód 200307 (fi.AVE - Benátky nad Jizerou)</t>
  </si>
  <si>
    <t>Rozdílový výkaz výměr k návrhu na změnu č. 2</t>
  </si>
  <si>
    <t>2</t>
  </si>
  <si>
    <t>3</t>
  </si>
  <si>
    <t>4</t>
  </si>
  <si>
    <t>6</t>
  </si>
  <si>
    <t>7</t>
  </si>
  <si>
    <t>8</t>
  </si>
  <si>
    <t>10</t>
  </si>
  <si>
    <t>11</t>
  </si>
  <si>
    <t>12</t>
  </si>
  <si>
    <t>13</t>
  </si>
  <si>
    <t>14</t>
  </si>
  <si>
    <t>15</t>
  </si>
  <si>
    <t>16</t>
  </si>
  <si>
    <t>17</t>
  </si>
  <si>
    <t>113107161</t>
  </si>
  <si>
    <t>18</t>
  </si>
  <si>
    <t>113107223</t>
  </si>
  <si>
    <t>19</t>
  </si>
  <si>
    <t>113107242</t>
  </si>
  <si>
    <t>21</t>
  </si>
  <si>
    <t>22</t>
  </si>
  <si>
    <t>23</t>
  </si>
  <si>
    <t>24</t>
  </si>
  <si>
    <t>120001101</t>
  </si>
  <si>
    <t>25</t>
  </si>
  <si>
    <t>26</t>
  </si>
  <si>
    <t>27</t>
  </si>
  <si>
    <t>28</t>
  </si>
  <si>
    <t>132201203</t>
  </si>
  <si>
    <t>29</t>
  </si>
  <si>
    <t>132201209</t>
  </si>
  <si>
    <t>30</t>
  </si>
  <si>
    <t>132301202</t>
  </si>
  <si>
    <t>31</t>
  </si>
  <si>
    <t>132301209</t>
  </si>
  <si>
    <t>32</t>
  </si>
  <si>
    <t>138401201</t>
  </si>
  <si>
    <t>33</t>
  </si>
  <si>
    <t>138501201</t>
  </si>
  <si>
    <t>34</t>
  </si>
  <si>
    <t>35</t>
  </si>
  <si>
    <t>151811131</t>
  </si>
  <si>
    <t>36</t>
  </si>
  <si>
    <t>151811231</t>
  </si>
  <si>
    <t>37</t>
  </si>
  <si>
    <t>161101102</t>
  </si>
  <si>
    <t>38</t>
  </si>
  <si>
    <t>161101152</t>
  </si>
  <si>
    <t>39</t>
  </si>
  <si>
    <t>167101102</t>
  </si>
  <si>
    <t>167101152</t>
  </si>
  <si>
    <t>43</t>
  </si>
  <si>
    <t>171201201</t>
  </si>
  <si>
    <t>44</t>
  </si>
  <si>
    <t>45</t>
  </si>
  <si>
    <t>171201211</t>
  </si>
  <si>
    <t>46</t>
  </si>
  <si>
    <t>174101101</t>
  </si>
  <si>
    <t>48</t>
  </si>
  <si>
    <t>175111101</t>
  </si>
  <si>
    <t>50</t>
  </si>
  <si>
    <t>58337331</t>
  </si>
  <si>
    <t>49</t>
  </si>
  <si>
    <t>51</t>
  </si>
  <si>
    <t>114</t>
  </si>
  <si>
    <t>R.02-001</t>
  </si>
  <si>
    <t>116</t>
  </si>
  <si>
    <t>R.02-004</t>
  </si>
  <si>
    <t>R.02-006</t>
  </si>
  <si>
    <t>Odstranění podkladu pl přes 50 do 200 m2 z kameniva drceného tl 100 mm</t>
  </si>
  <si>
    <t>Odstranění podkladu pl přes 200 m2 z kameniva drceného tl 300 mm</t>
  </si>
  <si>
    <t>Odstranění podkladu živičného tl 100 mm strojně pl přes 200 m2</t>
  </si>
  <si>
    <t>Příplatek za ztížení vykopávky v blízkosti podzemního vedení</t>
  </si>
  <si>
    <t>M3</t>
  </si>
  <si>
    <t>Hloubení rýh š do 2000 mm v hornině tř. 3 objemu do 5000 m3</t>
  </si>
  <si>
    <t>Příplatek za lepivost k hloubení rýh š do 2000 mm v hornině tř. 3</t>
  </si>
  <si>
    <t>Hloubení rýh š do 2000 mm v hornině tř. 4 objemu do 1000 m3</t>
  </si>
  <si>
    <t>Příplatek za lepivost k hloubení rýh š do 2000 mm v hornině tř. 4</t>
  </si>
  <si>
    <t>Dolamování hloubených vykopávek rýh ve vrstvě tl do 500 mm v hornině tř. 5</t>
  </si>
  <si>
    <t>Dolamování hloubených vykopávek rýh ve vrstvě tl do 500 mm v hornině tř. 6</t>
  </si>
  <si>
    <t>Osazení pažicího boxu hl výkopu do 4 m š do 1,2 m</t>
  </si>
  <si>
    <t>Odstranění pažicího boxu hl výkopu do 4 m š do 1,2 m</t>
  </si>
  <si>
    <t>Svislé přemístění výkopku z horniny tř. 1 až 4 hl výkopu do 4 m</t>
  </si>
  <si>
    <t>Svislé přemístění výkopku z horniny tř. 5 až 7 hl výkopu do 4 m</t>
  </si>
  <si>
    <t>Nakládání výkopku z hornin tř. 1 až 4 přes 100 m3</t>
  </si>
  <si>
    <t>Nakládání výkopku z hornin tř. 5 až 7 přes 100 m3</t>
  </si>
  <si>
    <t>Uložení sypaniny na skládky</t>
  </si>
  <si>
    <t>Poplatek za uložení odpadu ze sypaniny na skládce (skládkovné)</t>
  </si>
  <si>
    <t>Zásypání jam, šachet rýh nebo kolem objektů sypaninou se zhutněním</t>
  </si>
  <si>
    <t>Obsypání potrubí ručně sypaninou bez prohození sítem, uloženou do 3 m</t>
  </si>
  <si>
    <t>štěrkopísek frakce 0/22</t>
  </si>
  <si>
    <t>Vodorovné přemístění výkopku z horniny tř. 1 až 4</t>
  </si>
  <si>
    <t>Vodorovné přemístění výkopku z horniny tř. 5 až 7</t>
  </si>
  <si>
    <t>Svislé kontstrukce</t>
  </si>
  <si>
    <t>56</t>
  </si>
  <si>
    <t>359901111</t>
  </si>
  <si>
    <t>57</t>
  </si>
  <si>
    <t>359901211</t>
  </si>
  <si>
    <t>Vyčištění stok</t>
  </si>
  <si>
    <t>Monitoring stoky jakékoli výšky na nové kanalizaci</t>
  </si>
  <si>
    <t>Vodorovné konstrukce</t>
  </si>
  <si>
    <t>58</t>
  </si>
  <si>
    <t>59</t>
  </si>
  <si>
    <t>60</t>
  </si>
  <si>
    <t>452312131</t>
  </si>
  <si>
    <t>Sedlové lože z betonu prostého tř. C 12/15 otevřený výkop</t>
  </si>
  <si>
    <t>61</t>
  </si>
  <si>
    <t>564851111</t>
  </si>
  <si>
    <t>62</t>
  </si>
  <si>
    <t>63</t>
  </si>
  <si>
    <t>564871116</t>
  </si>
  <si>
    <t>64</t>
  </si>
  <si>
    <t>Podklad ze štěrkodrtě ŠD tl 150 mm</t>
  </si>
  <si>
    <t>Podklad ze štěrkodrtě ŠD tl. 300 mm</t>
  </si>
  <si>
    <t>68</t>
  </si>
  <si>
    <t>721290113</t>
  </si>
  <si>
    <t>Zkouška těsnosti potrubí kanalizace vodou do DN 300</t>
  </si>
  <si>
    <t>Potrubí</t>
  </si>
  <si>
    <t>831362121</t>
  </si>
  <si>
    <t>70</t>
  </si>
  <si>
    <t>59710702</t>
  </si>
  <si>
    <t>74</t>
  </si>
  <si>
    <t>75</t>
  </si>
  <si>
    <t>76</t>
  </si>
  <si>
    <t>78</t>
  </si>
  <si>
    <t>79</t>
  </si>
  <si>
    <t>86</t>
  </si>
  <si>
    <t>88</t>
  </si>
  <si>
    <t>91</t>
  </si>
  <si>
    <t>97</t>
  </si>
  <si>
    <t>106</t>
  </si>
  <si>
    <t>899722113</t>
  </si>
  <si>
    <t>Montáž potrubí z trub kameninových hrdlových s integrovaným těsněním výkop sklon do 20 % DN 250</t>
  </si>
  <si>
    <t>trouba kameninová glazovaná pouze uvnitř DN 250mm L2,50m spojovací systém C Třida 160</t>
  </si>
  <si>
    <t>Krytí potrubí z plastů výstražnou fólií z PVC 34cm</t>
  </si>
  <si>
    <t>108</t>
  </si>
  <si>
    <t>919735113</t>
  </si>
  <si>
    <t>112</t>
  </si>
  <si>
    <t>997223855</t>
  </si>
  <si>
    <t>Řezání stávajícího živičného krytu hl do 150 mm</t>
  </si>
  <si>
    <t>Poplatek za uložení na skládce (skládkovné) zeminy a kameniva kód odpadu 170 504</t>
  </si>
  <si>
    <t>Odpočet nerealizované délky stoky (-0,5m)</t>
  </si>
  <si>
    <t>2.1</t>
  </si>
  <si>
    <t>2.2</t>
  </si>
  <si>
    <t>132201202</t>
  </si>
  <si>
    <t>161101101</t>
  </si>
  <si>
    <t>167101151</t>
  </si>
  <si>
    <t>58337344</t>
  </si>
  <si>
    <t>Hloubení rýh š do 2000 mm v hornině tř. 3 objemu do 1000 m3</t>
  </si>
  <si>
    <t>Svislé přemístění výkopku z horniny tř. 1 až 4 hl výkopu do 2,5 m</t>
  </si>
  <si>
    <t>Nakládání výkopku z hornin tř. 5 až 7 do 100 m3</t>
  </si>
  <si>
    <t>štěrkopísek frakce 0-32</t>
  </si>
  <si>
    <t>Přidružená stavební výroba</t>
  </si>
  <si>
    <t>SO 01 - A1-1   Kanalizační stoky gravitační - Stoka A1-1</t>
  </si>
  <si>
    <t>Odpočet nerealizované délky stoky (-0,2m)</t>
  </si>
  <si>
    <t>132201201</t>
  </si>
  <si>
    <t>132301201</t>
  </si>
  <si>
    <t>Hloubení rýh š do 2000 mm v hornině tř. 3 objemu do 100 m3</t>
  </si>
  <si>
    <t>Hloubení rýh š do 2000 mm v hornině tř. 4 objemu do 100 m3</t>
  </si>
  <si>
    <t>Odpočet nerealizované délky vodovodního řadu (-7,5m)</t>
  </si>
  <si>
    <t>SO 03 - V1   Přeložky vodovodních řadů - Řad V1</t>
  </si>
  <si>
    <t>2.3</t>
  </si>
  <si>
    <t>161101151</t>
  </si>
  <si>
    <t>167101101</t>
  </si>
  <si>
    <t>58337310</t>
  </si>
  <si>
    <t>Svislé přemístění výkopku z horniny tř. 5 až 7 hl výkopu do 2,5 m</t>
  </si>
  <si>
    <t>Nakládání výkopku z hornin tř. 1 až 4 do 100 m3</t>
  </si>
  <si>
    <t>štěrkopísek frakce 0-4 třída B</t>
  </si>
  <si>
    <t>451573111</t>
  </si>
  <si>
    <t>Lože pod potrubí otevřený výkop ze štěrkopísku</t>
  </si>
  <si>
    <t>851241131</t>
  </si>
  <si>
    <t>55254080</t>
  </si>
  <si>
    <t>892241111</t>
  </si>
  <si>
    <t>892241112</t>
  </si>
  <si>
    <t>892273122</t>
  </si>
  <si>
    <t>Montáž potrubí z trub litinových hrdlových s integrovaným těsněním otevřený výkop DN 80</t>
  </si>
  <si>
    <t>trouba vodovodní litinová hrdlová hrdlová zinko-aluminiový povlak K9, 6 m DN 80</t>
  </si>
  <si>
    <t>Tlaková zkouška vodovodního potrubí do 80</t>
  </si>
  <si>
    <t>Zkouška průchodnosti volným nástrojem vodovodního potrubí do 80</t>
  </si>
  <si>
    <t>Proplach a dezinfekce vodovodního potrubí DN od 80 do 125</t>
  </si>
  <si>
    <t>969011131</t>
  </si>
  <si>
    <t>Vybourání vodovodního nebo plynového vedení DN do 125</t>
  </si>
  <si>
    <t>SO 03 - V2   Přeložky vodovodních řadů - Řad V2</t>
  </si>
  <si>
    <t>2.4</t>
  </si>
  <si>
    <t>Přípočet realizované délky vodovodního řadu (+0,3m)</t>
  </si>
  <si>
    <t>SO 03 - V3   Přeložky vodovodních řadů - Řad V3</t>
  </si>
  <si>
    <t>2.5</t>
  </si>
  <si>
    <t>2.6</t>
  </si>
  <si>
    <t>113107163</t>
  </si>
  <si>
    <t>113107182</t>
  </si>
  <si>
    <t>Odstranění podkladu pl přes 50 do 200 m2 z kameniva drceného tl 300 mm</t>
  </si>
  <si>
    <t>Odstranění podkladu živičného tl 100 mm strojně pl přes 50 do 200 m2</t>
  </si>
  <si>
    <t>451571111</t>
  </si>
  <si>
    <t>Lože pod dlažby ze štěrkopísku vrstva tl do 100 mm</t>
  </si>
  <si>
    <t>721290112</t>
  </si>
  <si>
    <t>Zkouška těsnosti potrubí kanalizace vodou do DN 200</t>
  </si>
  <si>
    <t>831312121</t>
  </si>
  <si>
    <t>59710675</t>
  </si>
  <si>
    <t>Montáž potrubí z trub kameninových hrdlových s integrovaným těsněním výkop sklon do 20 % DN 150</t>
  </si>
  <si>
    <t>trouba kameninová glazovaná DN 150mm L1,50m spojovací systém F</t>
  </si>
  <si>
    <t>KRYCÍ LIST ZMĚNOVÝCH LISTŮ</t>
  </si>
  <si>
    <t>VCES a.s.</t>
  </si>
  <si>
    <t>113154232</t>
  </si>
  <si>
    <t>577134111</t>
  </si>
  <si>
    <t>VCES-6003</t>
  </si>
  <si>
    <t>Vodovody a kanalizace Mladá Boleslav a.s.</t>
  </si>
  <si>
    <t xml:space="preserve">VRI/SOD/2020/12/Ži </t>
  </si>
  <si>
    <t>Správce stavby:</t>
  </si>
  <si>
    <t>Odpočet/přípočet nerealizovaných/realizovaných  délek stok a vodovodů dle GZ skutečného provedení (doměrkový změnový list)</t>
  </si>
  <si>
    <t>Poznámka žitný</t>
  </si>
  <si>
    <t>má být - 6,3m</t>
  </si>
  <si>
    <t>má být +1,7m</t>
  </si>
  <si>
    <t>OK</t>
  </si>
  <si>
    <t>musí být řešeno po profilech, tedy:</t>
  </si>
  <si>
    <t>u DN 250 je to +0,7</t>
  </si>
  <si>
    <t>u DN 300 to je -1,2 m</t>
  </si>
  <si>
    <t>upraveno</t>
  </si>
  <si>
    <t>831372121</t>
  </si>
  <si>
    <t>Montáž potrubí z trub kameninových hrdlových s integrovaným těsněním výkop sklon do 20 % DN 300</t>
  </si>
  <si>
    <t>úpravy nemají vliv na položky zemních prací ani ostatních kcí</t>
  </si>
  <si>
    <t>59710711</t>
  </si>
  <si>
    <t>trouba kameninová glazovaná DN 300mm L2,50m spojovací systém C Třída 160</t>
  </si>
  <si>
    <t>opraveno</t>
  </si>
  <si>
    <t>Přípočet realizované délky vodovodního řadu (1,7m)</t>
  </si>
  <si>
    <t>Odpočet nerealizované délky kanalizačních přípojek (-6,3m)</t>
  </si>
  <si>
    <t>Poznámka šebesta + VCES</t>
  </si>
  <si>
    <t>Uznatelné</t>
  </si>
  <si>
    <t>neuznatelné</t>
  </si>
  <si>
    <t>Změna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</si>
</sst>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6" formatCode="#,##0\ &quot;Kč&quot;;[Red]\-#,##0\ &quot;Kč&quot;"/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\ _K_č_-;\-* #,##0\ _K_č_-;_-* &quot;-&quot;\ _K_č_-;_-@_-"/>
    <numFmt numFmtId="165" formatCode="_-* #,##0.00\ _K_č_-;\-* #,##0.00\ _K_č_-;_-* &quot;-&quot;??\ _K_č_-;_-@_-"/>
    <numFmt numFmtId="166" formatCode="#,##0.00\ _K_č"/>
    <numFmt numFmtId="167" formatCode="#,##0\ &quot;Kč&quot;"/>
    <numFmt numFmtId="168" formatCode="#,##0.00\ [$€-1]"/>
    <numFmt numFmtId="169" formatCode="#,##0.000"/>
    <numFmt numFmtId="170" formatCode="#,##0.00\ &quot;Kč&quot;"/>
    <numFmt numFmtId="171" formatCode="#,##0.00&quot;$&quot;;[Red]\-#,##0.00&quot;$&quot;"/>
    <numFmt numFmtId="172" formatCode="_-* #,##0\ _U_S_D_-;\-* #,##0\ _U_S_D_-;_-* &quot;-&quot;\ _U_S_D_-;_-@_-"/>
    <numFmt numFmtId="173" formatCode="_ * #,##0_ ;_ * \-#,##0_ ;_ * &quot;-&quot;_ ;_ @_ "/>
    <numFmt numFmtId="174" formatCode="_ * #,##0.00_ ;_ * \-#,##0.00_ ;_ * &quot;-&quot;??_ ;_ @_ "/>
    <numFmt numFmtId="175" formatCode="&quot;See Note &quot;\ #"/>
    <numFmt numFmtId="176" formatCode="\$\ #,##0"/>
    <numFmt numFmtId="177" formatCode="_ &quot;Fr.&quot;\ * #,##0_ ;_ &quot;Fr.&quot;\ * \-#,##0_ ;_ &quot;Fr.&quot;\ * &quot;-&quot;_ ;_ @_ "/>
    <numFmt numFmtId="178" formatCode="_ &quot;Fr.&quot;\ * #,##0.00_ ;_ &quot;Fr.&quot;\ * \-#,##0.00_ ;_ &quot;Fr.&quot;\ * &quot;-&quot;??_ ;_ @_ "/>
    <numFmt numFmtId="179" formatCode="#,##0.0"/>
  </numFmts>
  <fonts count="100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Helv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b/>
      <sz val="12"/>
      <name val="Arial CE"/>
      <charset val="238"/>
    </font>
    <font>
      <sz val="12"/>
      <name val="Arial CE"/>
      <charset val="238"/>
    </font>
    <font>
      <sz val="10"/>
      <name val="Times New Roman CE"/>
      <charset val="238"/>
    </font>
    <font>
      <b/>
      <sz val="10"/>
      <color indexed="12"/>
      <name val="Arial"/>
      <family val="2"/>
    </font>
    <font>
      <sz val="12"/>
      <color indexed="18"/>
      <name val="Arial"/>
      <family val="2"/>
      <charset val="238"/>
    </font>
    <font>
      <sz val="12"/>
      <color indexed="17"/>
      <name val="Arial"/>
      <family val="2"/>
      <charset val="238"/>
    </font>
    <font>
      <sz val="12"/>
      <color indexed="10"/>
      <name val="Arial"/>
      <family val="2"/>
      <charset val="238"/>
    </font>
    <font>
      <sz val="10"/>
      <color indexed="60"/>
      <name val="Arial CE"/>
      <charset val="238"/>
    </font>
    <font>
      <sz val="12"/>
      <color indexed="60"/>
      <name val="Arial"/>
      <family val="2"/>
      <charset val="238"/>
    </font>
    <font>
      <b/>
      <sz val="12"/>
      <color indexed="18"/>
      <name val="Arial"/>
      <family val="2"/>
      <charset val="238"/>
    </font>
    <font>
      <sz val="12"/>
      <color indexed="60"/>
      <name val="Arial CE"/>
      <charset val="238"/>
    </font>
    <font>
      <b/>
      <sz val="12"/>
      <color indexed="18"/>
      <name val="Arial CE"/>
      <charset val="238"/>
    </font>
    <font>
      <sz val="12"/>
      <color indexed="18"/>
      <name val="Arial CE"/>
      <charset val="238"/>
    </font>
    <font>
      <sz val="12"/>
      <color indexed="17"/>
      <name val="Arial CE"/>
      <charset val="238"/>
    </font>
    <font>
      <sz val="12"/>
      <color indexed="10"/>
      <name val="Arial CE"/>
      <charset val="238"/>
    </font>
    <font>
      <sz val="9"/>
      <color indexed="17"/>
      <name val="Arial"/>
      <family val="2"/>
      <charset val="238"/>
    </font>
    <font>
      <b/>
      <sz val="9"/>
      <color indexed="17"/>
      <name val="Arial"/>
      <family val="2"/>
      <charset val="238"/>
    </font>
    <font>
      <sz val="9"/>
      <color indexed="10"/>
      <name val="Arial"/>
      <family val="2"/>
      <charset val="238"/>
    </font>
    <font>
      <b/>
      <sz val="9"/>
      <color indexed="10"/>
      <name val="Arial"/>
      <family val="2"/>
      <charset val="238"/>
    </font>
    <font>
      <b/>
      <sz val="14"/>
      <name val="Arial"/>
      <family val="2"/>
      <charset val="238"/>
    </font>
    <font>
      <b/>
      <sz val="9"/>
      <color rgb="FF008000"/>
      <name val="Arial"/>
      <family val="2"/>
      <charset val="238"/>
    </font>
    <font>
      <b/>
      <i/>
      <sz val="9"/>
      <name val="Arial"/>
      <family val="2"/>
      <charset val="238"/>
    </font>
    <font>
      <sz val="9"/>
      <color rgb="FF008000"/>
      <name val="Arial"/>
      <family val="2"/>
      <charset val="238"/>
    </font>
    <font>
      <sz val="9"/>
      <color theme="1"/>
      <name val="Arial"/>
      <family val="2"/>
      <charset val="238"/>
    </font>
    <font>
      <b/>
      <sz val="12"/>
      <color indexed="17"/>
      <name val="Arial"/>
      <family val="2"/>
      <charset val="238"/>
    </font>
    <font>
      <b/>
      <sz val="12"/>
      <color indexed="10"/>
      <name val="Arial"/>
      <family val="2"/>
      <charset val="238"/>
    </font>
    <font>
      <sz val="12"/>
      <name val="Arial CE"/>
      <family val="2"/>
      <charset val="238"/>
    </font>
    <font>
      <b/>
      <sz val="12"/>
      <color indexed="17"/>
      <name val="Arial CE"/>
      <charset val="238"/>
    </font>
    <font>
      <sz val="9"/>
      <name val="Arial CE"/>
      <charset val="238"/>
    </font>
    <font>
      <b/>
      <sz val="14"/>
      <name val="Arial CE"/>
      <charset val="238"/>
    </font>
    <font>
      <b/>
      <sz val="11"/>
      <name val="Arial"/>
      <family val="2"/>
      <charset val="238"/>
    </font>
    <font>
      <sz val="9"/>
      <name val="Arial CE"/>
      <family val="2"/>
      <charset val="238"/>
    </font>
    <font>
      <sz val="10"/>
      <name val="Helv"/>
      <charset val="238"/>
    </font>
    <font>
      <sz val="10"/>
      <name val="Helv"/>
      <charset val="204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8"/>
      <color indexed="8"/>
      <name val="Arial CE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MS Sans Serif"/>
      <family val="2"/>
      <charset val="238"/>
    </font>
    <font>
      <sz val="10"/>
      <name val="AT*Switzerland"/>
      <charset val="238"/>
    </font>
    <font>
      <i/>
      <sz val="11"/>
      <color indexed="23"/>
      <name val="Calibri"/>
      <family val="2"/>
      <charset val="238"/>
    </font>
    <font>
      <b/>
      <sz val="8"/>
      <name val="Times New Roman"/>
      <family val="1"/>
      <charset val="238"/>
    </font>
    <font>
      <u/>
      <sz val="10"/>
      <color indexed="36"/>
      <name val="Arial CE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0"/>
      <name val="Times New Roman"/>
      <family val="1"/>
      <charset val="238"/>
    </font>
    <font>
      <sz val="9.75"/>
      <name val="Arial"/>
      <family val="2"/>
      <charset val="238"/>
    </font>
    <font>
      <sz val="11"/>
      <name val="Arial"/>
      <family val="2"/>
      <charset val="238"/>
    </font>
    <font>
      <b/>
      <sz val="12"/>
      <color indexed="12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24"/>
      <name val="Tahoma"/>
      <family val="2"/>
      <charset val="238"/>
    </font>
    <font>
      <b/>
      <sz val="9.75"/>
      <name val="Arial"/>
      <family val="2"/>
      <charset val="238"/>
    </font>
    <font>
      <u/>
      <sz val="10"/>
      <color indexed="12"/>
      <name val="Arial CE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8"/>
      <name val="MS Sans Serif"/>
      <family val="2"/>
      <charset val="238"/>
    </font>
    <font>
      <b/>
      <sz val="10"/>
      <color indexed="12"/>
      <name val="Arial CE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8"/>
      <name val="Helv"/>
      <charset val="238"/>
    </font>
    <font>
      <i/>
      <sz val="10"/>
      <name val="Times New Roman"/>
      <family val="1"/>
      <charset val="238"/>
    </font>
    <font>
      <b/>
      <sz val="11"/>
      <color indexed="63"/>
      <name val="Calibri"/>
      <family val="2"/>
      <charset val="238"/>
    </font>
    <font>
      <sz val="14"/>
      <name val="Tahoma"/>
      <family val="2"/>
      <charset val="238"/>
    </font>
    <font>
      <sz val="8"/>
      <name val="Times New Roman"/>
      <family val="1"/>
      <charset val="238"/>
    </font>
    <font>
      <sz val="11"/>
      <color indexed="10"/>
      <name val="Calibri"/>
      <family val="2"/>
      <charset val="238"/>
    </font>
    <font>
      <b/>
      <sz val="20"/>
      <name val="Arial"/>
      <family val="2"/>
    </font>
    <font>
      <sz val="10"/>
      <color theme="1"/>
      <name val="Arial"/>
      <family val="2"/>
      <charset val="238"/>
    </font>
    <font>
      <b/>
      <sz val="11"/>
      <name val="Arial CE"/>
      <family val="2"/>
      <charset val="238"/>
    </font>
    <font>
      <sz val="8"/>
      <name val="Arial CE"/>
      <family val="2"/>
    </font>
    <font>
      <sz val="10"/>
      <color rgb="FF00B050"/>
      <name val="Arial"/>
      <family val="2"/>
      <charset val="238"/>
    </font>
    <font>
      <sz val="10"/>
      <color rgb="FFFF0000"/>
      <name val="Arial"/>
      <family val="2"/>
      <charset val="238"/>
    </font>
    <font>
      <sz val="14"/>
      <name val="Arial"/>
      <family val="2"/>
      <charset val="238"/>
    </font>
    <font>
      <b/>
      <sz val="12"/>
      <color rgb="FF00B050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7"/>
      <name val="Arial"/>
      <family val="2"/>
      <charset val="238"/>
    </font>
    <font>
      <sz val="7"/>
      <color theme="1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sz val="9"/>
      <color rgb="FF00B050"/>
      <name val="Arial"/>
      <family val="2"/>
      <charset val="238"/>
    </font>
    <font>
      <sz val="9"/>
      <color rgb="FF00B050"/>
      <name val="Arial"/>
      <family val="2"/>
      <charset val="238"/>
    </font>
  </fonts>
  <fills count="29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4">
    <xf numFmtId="0" fontId="0" fillId="0" borderId="0"/>
    <xf numFmtId="0" fontId="9" fillId="0" borderId="0"/>
    <xf numFmtId="0" fontId="12" fillId="0" borderId="0"/>
    <xf numFmtId="0" fontId="12" fillId="0" borderId="0"/>
    <xf numFmtId="0" fontId="18" fillId="0" borderId="0"/>
    <xf numFmtId="0" fontId="4" fillId="0" borderId="0"/>
    <xf numFmtId="0" fontId="12" fillId="0" borderId="0"/>
    <xf numFmtId="165" fontId="12" fillId="0" borderId="0" applyFont="0" applyFill="0" applyBorder="0" applyAlignment="0" applyProtection="0"/>
    <xf numFmtId="0" fontId="4" fillId="0" borderId="0"/>
    <xf numFmtId="9" fontId="12" fillId="0" borderId="0" applyFont="0" applyFill="0" applyBorder="0" applyAlignment="0" applyProtection="0"/>
    <xf numFmtId="0" fontId="2" fillId="0" borderId="0"/>
    <xf numFmtId="0" fontId="12" fillId="0" borderId="0" applyProtection="0"/>
    <xf numFmtId="0" fontId="12" fillId="0" borderId="0" applyProtection="0"/>
    <xf numFmtId="0" fontId="12" fillId="0" borderId="0" applyProtection="0"/>
    <xf numFmtId="0" fontId="48" fillId="0" borderId="0"/>
    <xf numFmtId="0" fontId="9" fillId="0" borderId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49" fillId="0" borderId="0"/>
    <xf numFmtId="0" fontId="48" fillId="0" borderId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4" fillId="0" borderId="0"/>
    <xf numFmtId="0" fontId="9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50" fillId="4" borderId="0" applyNumberFormat="0" applyBorder="0" applyAlignment="0" applyProtection="0"/>
    <xf numFmtId="0" fontId="50" fillId="5" borderId="0" applyNumberFormat="0" applyBorder="0" applyAlignment="0" applyProtection="0"/>
    <xf numFmtId="0" fontId="50" fillId="6" borderId="0" applyNumberFormat="0" applyBorder="0" applyAlignment="0" applyProtection="0"/>
    <xf numFmtId="0" fontId="50" fillId="7" borderId="0" applyNumberFormat="0" applyBorder="0" applyAlignment="0" applyProtection="0"/>
    <xf numFmtId="0" fontId="50" fillId="8" borderId="0" applyNumberFormat="0" applyBorder="0" applyAlignment="0" applyProtection="0"/>
    <xf numFmtId="0" fontId="50" fillId="9" borderId="0" applyNumberFormat="0" applyBorder="0" applyAlignment="0" applyProtection="0"/>
    <xf numFmtId="0" fontId="50" fillId="4" borderId="0" applyNumberFormat="0" applyBorder="0" applyAlignment="0" applyProtection="0"/>
    <xf numFmtId="0" fontId="50" fillId="5" borderId="0" applyNumberFormat="0" applyBorder="0" applyAlignment="0" applyProtection="0"/>
    <xf numFmtId="0" fontId="50" fillId="6" borderId="0" applyNumberFormat="0" applyBorder="0" applyAlignment="0" applyProtection="0"/>
    <xf numFmtId="0" fontId="50" fillId="7" borderId="0" applyNumberFormat="0" applyBorder="0" applyAlignment="0" applyProtection="0"/>
    <xf numFmtId="0" fontId="50" fillId="8" borderId="0" applyNumberFormat="0" applyBorder="0" applyAlignment="0" applyProtection="0"/>
    <xf numFmtId="0" fontId="50" fillId="9" borderId="0" applyNumberFormat="0" applyBorder="0" applyAlignment="0" applyProtection="0"/>
    <xf numFmtId="0" fontId="50" fillId="10" borderId="0" applyNumberFormat="0" applyBorder="0" applyAlignment="0" applyProtection="0"/>
    <xf numFmtId="0" fontId="50" fillId="11" borderId="0" applyNumberFormat="0" applyBorder="0" applyAlignment="0" applyProtection="0"/>
    <xf numFmtId="0" fontId="50" fillId="12" borderId="0" applyNumberFormat="0" applyBorder="0" applyAlignment="0" applyProtection="0"/>
    <xf numFmtId="0" fontId="50" fillId="7" borderId="0" applyNumberFormat="0" applyBorder="0" applyAlignment="0" applyProtection="0"/>
    <xf numFmtId="0" fontId="50" fillId="10" borderId="0" applyNumberFormat="0" applyBorder="0" applyAlignment="0" applyProtection="0"/>
    <xf numFmtId="0" fontId="50" fillId="13" borderId="0" applyNumberFormat="0" applyBorder="0" applyAlignment="0" applyProtection="0"/>
    <xf numFmtId="0" fontId="50" fillId="10" borderId="0" applyNumberFormat="0" applyBorder="0" applyAlignment="0" applyProtection="0"/>
    <xf numFmtId="0" fontId="50" fillId="11" borderId="0" applyNumberFormat="0" applyBorder="0" applyAlignment="0" applyProtection="0"/>
    <xf numFmtId="0" fontId="50" fillId="12" borderId="0" applyNumberFormat="0" applyBorder="0" applyAlignment="0" applyProtection="0"/>
    <xf numFmtId="0" fontId="50" fillId="7" borderId="0" applyNumberFormat="0" applyBorder="0" applyAlignment="0" applyProtection="0"/>
    <xf numFmtId="0" fontId="50" fillId="10" borderId="0" applyNumberFormat="0" applyBorder="0" applyAlignment="0" applyProtection="0"/>
    <xf numFmtId="0" fontId="50" fillId="13" borderId="0" applyNumberFormat="0" applyBorder="0" applyAlignment="0" applyProtection="0"/>
    <xf numFmtId="0" fontId="51" fillId="14" borderId="0" applyNumberFormat="0" applyBorder="0" applyAlignment="0" applyProtection="0"/>
    <xf numFmtId="0" fontId="51" fillId="11" borderId="0" applyNumberFormat="0" applyBorder="0" applyAlignment="0" applyProtection="0"/>
    <xf numFmtId="0" fontId="51" fillId="12" borderId="0" applyNumberFormat="0" applyBorder="0" applyAlignment="0" applyProtection="0"/>
    <xf numFmtId="0" fontId="51" fillId="15" borderId="0" applyNumberFormat="0" applyBorder="0" applyAlignment="0" applyProtection="0"/>
    <xf numFmtId="0" fontId="51" fillId="16" borderId="0" applyNumberFormat="0" applyBorder="0" applyAlignment="0" applyProtection="0"/>
    <xf numFmtId="0" fontId="51" fillId="17" borderId="0" applyNumberFormat="0" applyBorder="0" applyAlignment="0" applyProtection="0"/>
    <xf numFmtId="0" fontId="51" fillId="14" borderId="0" applyNumberFormat="0" applyBorder="0" applyAlignment="0" applyProtection="0"/>
    <xf numFmtId="0" fontId="51" fillId="11" borderId="0" applyNumberFormat="0" applyBorder="0" applyAlignment="0" applyProtection="0"/>
    <xf numFmtId="0" fontId="51" fillId="12" borderId="0" applyNumberFormat="0" applyBorder="0" applyAlignment="0" applyProtection="0"/>
    <xf numFmtId="0" fontId="51" fillId="15" borderId="0" applyNumberFormat="0" applyBorder="0" applyAlignment="0" applyProtection="0"/>
    <xf numFmtId="0" fontId="51" fillId="16" borderId="0" applyNumberFormat="0" applyBorder="0" applyAlignment="0" applyProtection="0"/>
    <xf numFmtId="0" fontId="51" fillId="17" borderId="0" applyNumberFormat="0" applyBorder="0" applyAlignment="0" applyProtection="0"/>
    <xf numFmtId="0" fontId="51" fillId="18" borderId="0" applyNumberFormat="0" applyBorder="0" applyAlignment="0" applyProtection="0"/>
    <xf numFmtId="0" fontId="51" fillId="19" borderId="0" applyNumberFormat="0" applyBorder="0" applyAlignment="0" applyProtection="0"/>
    <xf numFmtId="0" fontId="51" fillId="20" borderId="0" applyNumberFormat="0" applyBorder="0" applyAlignment="0" applyProtection="0"/>
    <xf numFmtId="0" fontId="51" fillId="15" borderId="0" applyNumberFormat="0" applyBorder="0" applyAlignment="0" applyProtection="0"/>
    <xf numFmtId="0" fontId="51" fillId="16" borderId="0" applyNumberFormat="0" applyBorder="0" applyAlignment="0" applyProtection="0"/>
    <xf numFmtId="0" fontId="51" fillId="21" borderId="0" applyNumberFormat="0" applyBorder="0" applyAlignment="0" applyProtection="0"/>
    <xf numFmtId="0" fontId="52" fillId="5" borderId="0" applyNumberFormat="0" applyBorder="0" applyAlignment="0" applyProtection="0"/>
    <xf numFmtId="0" fontId="53" fillId="0" borderId="0" applyNumberFormat="0" applyFill="0" applyBorder="0" applyAlignment="0"/>
    <xf numFmtId="0" fontId="54" fillId="22" borderId="6" applyNumberFormat="0" applyAlignment="0" applyProtection="0"/>
    <xf numFmtId="0" fontId="55" fillId="0" borderId="7" applyNumberFormat="0" applyFill="0" applyAlignment="0" applyProtection="0"/>
    <xf numFmtId="164" fontId="4" fillId="0" borderId="0" applyFont="0" applyFill="0" applyBorder="0" applyAlignment="0" applyProtection="0"/>
    <xf numFmtId="4" fontId="9" fillId="0" borderId="0" applyFont="0" applyFill="0" applyBorder="0" applyAlignment="0" applyProtection="0"/>
    <xf numFmtId="6" fontId="56" fillId="0" borderId="0" applyFont="0" applyFill="0" applyBorder="0" applyAlignment="0" applyProtection="0"/>
    <xf numFmtId="171" fontId="9" fillId="0" borderId="0" applyFont="0" applyFill="0" applyBorder="0" applyAlignment="0" applyProtection="0"/>
    <xf numFmtId="165" fontId="8" fillId="0" borderId="0" applyFont="0" applyFill="0" applyBorder="0" applyAlignment="0" applyProtection="0"/>
    <xf numFmtId="172" fontId="57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0" fontId="58" fillId="0" borderId="0" applyNumberFormat="0" applyFill="0" applyBorder="0" applyAlignment="0" applyProtection="0"/>
    <xf numFmtId="0" fontId="16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60" fillId="0" borderId="0" applyNumberFormat="0" applyFill="0" applyBorder="0" applyAlignment="0" applyProtection="0">
      <alignment vertical="top"/>
      <protection locked="0"/>
    </xf>
    <xf numFmtId="0" fontId="61" fillId="6" borderId="0" applyNumberFormat="0" applyBorder="0" applyAlignment="0" applyProtection="0"/>
    <xf numFmtId="0" fontId="62" fillId="0" borderId="8" applyNumberFormat="0" applyFill="0" applyAlignment="0" applyProtection="0"/>
    <xf numFmtId="0" fontId="63" fillId="0" borderId="9" applyNumberFormat="0" applyFill="0" applyAlignment="0" applyProtection="0"/>
    <xf numFmtId="0" fontId="64" fillId="0" borderId="10" applyNumberFormat="0" applyFill="0" applyAlignment="0" applyProtection="0"/>
    <xf numFmtId="0" fontId="64" fillId="0" borderId="0" applyNumberFormat="0" applyFill="0" applyBorder="0" applyAlignment="0" applyProtection="0"/>
    <xf numFmtId="3" fontId="65" fillId="0" borderId="0">
      <alignment vertical="top"/>
    </xf>
    <xf numFmtId="3" fontId="65" fillId="0" borderId="0">
      <alignment vertical="top"/>
    </xf>
    <xf numFmtId="3" fontId="65" fillId="0" borderId="0">
      <alignment vertical="top"/>
    </xf>
    <xf numFmtId="3" fontId="65" fillId="0" borderId="0">
      <alignment vertical="top"/>
    </xf>
    <xf numFmtId="2" fontId="66" fillId="1" borderId="11">
      <alignment horizontal="left"/>
      <protection locked="0"/>
    </xf>
    <xf numFmtId="2" fontId="66" fillId="1" borderId="11">
      <alignment horizontal="left"/>
      <protection locked="0"/>
    </xf>
    <xf numFmtId="2" fontId="66" fillId="1" borderId="11">
      <alignment horizontal="left"/>
      <protection locked="0"/>
    </xf>
    <xf numFmtId="2" fontId="66" fillId="1" borderId="11">
      <alignment horizontal="left"/>
      <protection locked="0"/>
    </xf>
    <xf numFmtId="0" fontId="67" fillId="0" borderId="0"/>
    <xf numFmtId="0" fontId="67" fillId="0" borderId="0"/>
    <xf numFmtId="0" fontId="67" fillId="0" borderId="0"/>
    <xf numFmtId="0" fontId="46" fillId="0" borderId="0"/>
    <xf numFmtId="0" fontId="46" fillId="0" borderId="0"/>
    <xf numFmtId="0" fontId="46" fillId="0" borderId="0"/>
    <xf numFmtId="0" fontId="46" fillId="0" borderId="0">
      <alignment horizontal="center"/>
    </xf>
    <xf numFmtId="0" fontId="46" fillId="0" borderId="0">
      <alignment horizontal="center"/>
    </xf>
    <xf numFmtId="0" fontId="46" fillId="0" borderId="0">
      <alignment horizontal="center"/>
    </xf>
    <xf numFmtId="0" fontId="68" fillId="0" borderId="0"/>
    <xf numFmtId="0" fontId="69" fillId="0" borderId="0"/>
    <xf numFmtId="0" fontId="13" fillId="0" borderId="0"/>
    <xf numFmtId="0" fontId="70" fillId="0" borderId="0"/>
    <xf numFmtId="2" fontId="71" fillId="0" borderId="1">
      <alignment horizontal="center" vertical="center"/>
    </xf>
    <xf numFmtId="0" fontId="72" fillId="0" borderId="0" applyNumberFormat="0" applyFill="0" applyBorder="0" applyAlignment="0" applyProtection="0">
      <alignment vertical="top"/>
      <protection locked="0"/>
    </xf>
    <xf numFmtId="0" fontId="73" fillId="23" borderId="12" applyNumberFormat="0" applyAlignment="0" applyProtection="0"/>
    <xf numFmtId="0" fontId="52" fillId="5" borderId="0" applyNumberFormat="0" applyBorder="0" applyAlignment="0" applyProtection="0"/>
    <xf numFmtId="0" fontId="74" fillId="9" borderId="6" applyNumberFormat="0" applyAlignment="0" applyProtection="0"/>
    <xf numFmtId="0" fontId="73" fillId="23" borderId="12" applyNumberFormat="0" applyAlignment="0" applyProtection="0"/>
    <xf numFmtId="0" fontId="75" fillId="0" borderId="13" applyNumberFormat="0" applyFill="0" applyAlignment="0" applyProtection="0"/>
    <xf numFmtId="44" fontId="12" fillId="0" borderId="0" applyFont="0" applyFill="0" applyBorder="0" applyAlignment="0" applyProtection="0"/>
    <xf numFmtId="44" fontId="76" fillId="0" borderId="0" applyFont="0" applyFill="0" applyBorder="0" applyAlignment="0" applyProtection="0">
      <alignment vertical="top" wrapText="1"/>
      <protection locked="0"/>
    </xf>
    <xf numFmtId="0" fontId="77" fillId="0" borderId="0"/>
    <xf numFmtId="0" fontId="62" fillId="0" borderId="8" applyNumberFormat="0" applyFill="0" applyAlignment="0" applyProtection="0"/>
    <xf numFmtId="0" fontId="63" fillId="0" borderId="9" applyNumberFormat="0" applyFill="0" applyAlignment="0" applyProtection="0"/>
    <xf numFmtId="0" fontId="64" fillId="0" borderId="10" applyNumberFormat="0" applyFill="0" applyAlignment="0" applyProtection="0"/>
    <xf numFmtId="0" fontId="64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9" fillId="24" borderId="0" applyNumberFormat="0" applyBorder="0" applyAlignment="0" applyProtection="0"/>
    <xf numFmtId="0" fontId="79" fillId="24" borderId="0" applyNumberFormat="0" applyBorder="0" applyAlignment="0" applyProtection="0"/>
    <xf numFmtId="0" fontId="12" fillId="0" borderId="0" applyNumberFormat="0" applyFill="0" applyBorder="0" applyAlignment="0" applyProtection="0"/>
    <xf numFmtId="0" fontId="4" fillId="0" borderId="0"/>
    <xf numFmtId="0" fontId="4" fillId="0" borderId="0"/>
    <xf numFmtId="0" fontId="76" fillId="0" borderId="0" applyAlignment="0">
      <alignment vertical="top" wrapText="1"/>
      <protection locked="0"/>
    </xf>
    <xf numFmtId="0" fontId="4" fillId="0" borderId="0"/>
    <xf numFmtId="0" fontId="4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12" fillId="2" borderId="14" applyNumberFormat="0" applyFont="0" applyAlignment="0" applyProtection="0"/>
    <xf numFmtId="3" fontId="66" fillId="0" borderId="0" applyNumberFormat="0">
      <alignment horizontal="center"/>
    </xf>
    <xf numFmtId="3" fontId="66" fillId="0" borderId="0" applyNumberFormat="0">
      <alignment horizontal="center"/>
    </xf>
    <xf numFmtId="3" fontId="66" fillId="0" borderId="0" applyNumberFormat="0">
      <alignment horizontal="center"/>
    </xf>
    <xf numFmtId="175" fontId="80" fillId="0" borderId="0">
      <alignment horizontal="left"/>
    </xf>
    <xf numFmtId="3" fontId="81" fillId="0" borderId="0">
      <alignment vertical="top"/>
    </xf>
    <xf numFmtId="3" fontId="81" fillId="0" borderId="0">
      <alignment vertical="top"/>
    </xf>
    <xf numFmtId="3" fontId="81" fillId="0" borderId="0">
      <alignment vertical="top"/>
    </xf>
    <xf numFmtId="3" fontId="81" fillId="0" borderId="0">
      <alignment vertical="top"/>
    </xf>
    <xf numFmtId="0" fontId="82" fillId="22" borderId="15" applyNumberFormat="0" applyAlignment="0" applyProtection="0"/>
    <xf numFmtId="0" fontId="83" fillId="0" borderId="0"/>
    <xf numFmtId="0" fontId="5" fillId="0" borderId="0"/>
    <xf numFmtId="0" fontId="5" fillId="0" borderId="0"/>
    <xf numFmtId="0" fontId="5" fillId="0" borderId="0"/>
    <xf numFmtId="0" fontId="12" fillId="2" borderId="14" applyNumberFormat="0" applyFont="0" applyAlignment="0" applyProtection="0"/>
    <xf numFmtId="176" fontId="84" fillId="0" borderId="0"/>
    <xf numFmtId="176" fontId="84" fillId="0" borderId="0"/>
    <xf numFmtId="176" fontId="84" fillId="0" borderId="0"/>
    <xf numFmtId="176" fontId="84" fillId="0" borderId="0"/>
    <xf numFmtId="0" fontId="75" fillId="0" borderId="13" applyNumberFormat="0" applyFill="0" applyAlignment="0" applyProtection="0"/>
    <xf numFmtId="0" fontId="61" fillId="6" borderId="0" applyNumberFormat="0" applyBorder="0" applyAlignment="0" applyProtection="0"/>
    <xf numFmtId="0" fontId="56" fillId="0" borderId="0"/>
    <xf numFmtId="0" fontId="14" fillId="25" borderId="0">
      <alignment horizontal="left"/>
    </xf>
    <xf numFmtId="0" fontId="45" fillId="26" borderId="0"/>
    <xf numFmtId="0" fontId="47" fillId="0" borderId="4">
      <alignment horizontal="left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5" fillId="0" borderId="0" applyNumberFormat="0" applyFill="0" applyBorder="0" applyAlignment="0" applyProtection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" fillId="0" borderId="0"/>
    <xf numFmtId="0" fontId="3" fillId="0" borderId="0"/>
    <xf numFmtId="0" fontId="3" fillId="0" borderId="0"/>
    <xf numFmtId="0" fontId="78" fillId="0" borderId="0" applyNumberFormat="0" applyFill="0" applyBorder="0" applyAlignment="0" applyProtection="0"/>
    <xf numFmtId="0" fontId="55" fillId="0" borderId="7" applyNumberFormat="0" applyFill="0" applyAlignment="0" applyProtection="0"/>
    <xf numFmtId="0" fontId="3" fillId="22" borderId="0"/>
    <xf numFmtId="0" fontId="3" fillId="22" borderId="0"/>
    <xf numFmtId="0" fontId="3" fillId="22" borderId="0"/>
    <xf numFmtId="0" fontId="3" fillId="12" borderId="0"/>
    <xf numFmtId="0" fontId="3" fillId="12" borderId="0"/>
    <xf numFmtId="0" fontId="14" fillId="0" borderId="0"/>
    <xf numFmtId="0" fontId="86" fillId="27" borderId="3">
      <alignment vertical="center"/>
    </xf>
    <xf numFmtId="175" fontId="80" fillId="0" borderId="0">
      <alignment horizontal="left"/>
    </xf>
    <xf numFmtId="0" fontId="65" fillId="0" borderId="16"/>
    <xf numFmtId="0" fontId="65" fillId="0" borderId="16"/>
    <xf numFmtId="0" fontId="65" fillId="0" borderId="16"/>
    <xf numFmtId="0" fontId="74" fillId="9" borderId="6" applyNumberFormat="0" applyAlignment="0" applyProtection="0"/>
    <xf numFmtId="0" fontId="54" fillId="22" borderId="6" applyNumberFormat="0" applyAlignment="0" applyProtection="0"/>
    <xf numFmtId="0" fontId="82" fillId="22" borderId="15" applyNumberFormat="0" applyAlignment="0" applyProtection="0"/>
    <xf numFmtId="0" fontId="58" fillId="0" borderId="0" applyNumberFormat="0" applyFill="0" applyBorder="0" applyAlignment="0" applyProtection="0"/>
    <xf numFmtId="177" fontId="4" fillId="0" borderId="0" applyFont="0" applyFill="0" applyBorder="0" applyAlignment="0" applyProtection="0"/>
    <xf numFmtId="178" fontId="4" fillId="0" borderId="0" applyFont="0" applyFill="0" applyBorder="0" applyAlignment="0" applyProtection="0"/>
    <xf numFmtId="0" fontId="85" fillId="0" borderId="0" applyNumberFormat="0" applyFill="0" applyBorder="0" applyAlignment="0" applyProtection="0"/>
    <xf numFmtId="0" fontId="12" fillId="0" borderId="0"/>
    <xf numFmtId="0" fontId="51" fillId="18" borderId="0" applyNumberFormat="0" applyBorder="0" applyAlignment="0" applyProtection="0"/>
    <xf numFmtId="0" fontId="51" fillId="19" borderId="0" applyNumberFormat="0" applyBorder="0" applyAlignment="0" applyProtection="0"/>
    <xf numFmtId="0" fontId="51" fillId="20" borderId="0" applyNumberFormat="0" applyBorder="0" applyAlignment="0" applyProtection="0"/>
    <xf numFmtId="0" fontId="51" fillId="15" borderId="0" applyNumberFormat="0" applyBorder="0" applyAlignment="0" applyProtection="0"/>
    <xf numFmtId="0" fontId="51" fillId="16" borderId="0" applyNumberFormat="0" applyBorder="0" applyAlignment="0" applyProtection="0"/>
    <xf numFmtId="0" fontId="51" fillId="21" borderId="0" applyNumberFormat="0" applyBorder="0" applyAlignment="0" applyProtection="0"/>
    <xf numFmtId="9" fontId="4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0" fontId="87" fillId="0" borderId="0"/>
    <xf numFmtId="0" fontId="87" fillId="0" borderId="0"/>
    <xf numFmtId="165" fontId="4" fillId="0" borderId="0" applyFont="0" applyFill="0" applyBorder="0" applyAlignment="0" applyProtection="0"/>
    <xf numFmtId="0" fontId="87" fillId="0" borderId="0"/>
    <xf numFmtId="0" fontId="87" fillId="0" borderId="0"/>
    <xf numFmtId="0" fontId="87" fillId="0" borderId="0"/>
    <xf numFmtId="0" fontId="87" fillId="0" borderId="0"/>
    <xf numFmtId="0" fontId="87" fillId="0" borderId="0"/>
    <xf numFmtId="0" fontId="87" fillId="0" borderId="0"/>
    <xf numFmtId="0" fontId="87" fillId="0" borderId="0"/>
    <xf numFmtId="0" fontId="87" fillId="0" borderId="0"/>
    <xf numFmtId="0" fontId="87" fillId="0" borderId="0"/>
    <xf numFmtId="0" fontId="87" fillId="0" borderId="0"/>
    <xf numFmtId="0" fontId="4" fillId="0" borderId="0"/>
    <xf numFmtId="0" fontId="87" fillId="0" borderId="0"/>
    <xf numFmtId="0" fontId="87" fillId="0" borderId="0"/>
    <xf numFmtId="0" fontId="1" fillId="0" borderId="0"/>
    <xf numFmtId="0" fontId="89" fillId="0" borderId="0"/>
    <xf numFmtId="165" fontId="89" fillId="0" borderId="0" applyFont="0" applyFill="0" applyBorder="0" applyAlignment="0" applyProtection="0"/>
    <xf numFmtId="0" fontId="89" fillId="0" borderId="0"/>
  </cellStyleXfs>
  <cellXfs count="203">
    <xf numFmtId="0" fontId="0" fillId="0" borderId="0" xfId="0"/>
    <xf numFmtId="0" fontId="17" fillId="0" borderId="0" xfId="3" applyFont="1"/>
    <xf numFmtId="167" fontId="4" fillId="0" borderId="0" xfId="4" applyNumberFormat="1" applyFont="1" applyAlignment="1">
      <alignment horizontal="right"/>
    </xf>
    <xf numFmtId="0" fontId="4" fillId="0" borderId="0" xfId="5" applyBorder="1"/>
    <xf numFmtId="2" fontId="4" fillId="0" borderId="0" xfId="5" applyNumberFormat="1" applyBorder="1"/>
    <xf numFmtId="0" fontId="23" fillId="0" borderId="0" xfId="5" applyFont="1" applyBorder="1"/>
    <xf numFmtId="0" fontId="11" fillId="0" borderId="0" xfId="5" applyFont="1"/>
    <xf numFmtId="0" fontId="7" fillId="0" borderId="0" xfId="5" applyFont="1"/>
    <xf numFmtId="44" fontId="24" fillId="0" borderId="0" xfId="5" applyNumberFormat="1" applyFont="1"/>
    <xf numFmtId="42" fontId="12" fillId="0" borderId="0" xfId="3" applyNumberFormat="1" applyFont="1" applyAlignment="1"/>
    <xf numFmtId="0" fontId="25" fillId="0" borderId="0" xfId="5" applyFont="1"/>
    <xf numFmtId="44" fontId="25" fillId="0" borderId="0" xfId="5" applyNumberFormat="1" applyFont="1"/>
    <xf numFmtId="44" fontId="20" fillId="0" borderId="0" xfId="5" applyNumberFormat="1" applyFont="1"/>
    <xf numFmtId="0" fontId="21" fillId="0" borderId="0" xfId="5" applyFont="1"/>
    <xf numFmtId="168" fontId="21" fillId="0" borderId="0" xfId="5" applyNumberFormat="1" applyFont="1"/>
    <xf numFmtId="0" fontId="22" fillId="0" borderId="0" xfId="5" applyFont="1"/>
    <xf numFmtId="0" fontId="4" fillId="0" borderId="0" xfId="3" applyFont="1" applyBorder="1" applyAlignment="1">
      <alignment horizontal="right"/>
    </xf>
    <xf numFmtId="44" fontId="26" fillId="0" borderId="0" xfId="3" applyNumberFormat="1" applyFont="1"/>
    <xf numFmtId="0" fontId="27" fillId="0" borderId="0" xfId="3" applyFont="1"/>
    <xf numFmtId="44" fontId="27" fillId="0" borderId="0" xfId="3" applyNumberFormat="1" applyFont="1"/>
    <xf numFmtId="44" fontId="28" fillId="0" borderId="0" xfId="3" applyNumberFormat="1" applyFont="1"/>
    <xf numFmtId="0" fontId="29" fillId="0" borderId="0" xfId="3" applyFont="1"/>
    <xf numFmtId="168" fontId="29" fillId="0" borderId="0" xfId="3" applyNumberFormat="1" applyFont="1"/>
    <xf numFmtId="0" fontId="30" fillId="0" borderId="0" xfId="3" applyFont="1"/>
    <xf numFmtId="0" fontId="11" fillId="0" borderId="0" xfId="3" applyFont="1"/>
    <xf numFmtId="167" fontId="11" fillId="0" borderId="0" xfId="4" applyNumberFormat="1" applyFont="1" applyAlignment="1">
      <alignment horizontal="right"/>
    </xf>
    <xf numFmtId="4" fontId="11" fillId="0" borderId="0" xfId="5" applyNumberFormat="1" applyFont="1" applyAlignment="1">
      <alignment horizontal="left"/>
    </xf>
    <xf numFmtId="169" fontId="11" fillId="0" borderId="0" xfId="3" applyNumberFormat="1" applyFont="1" applyAlignment="1">
      <alignment horizontal="right"/>
    </xf>
    <xf numFmtId="0" fontId="10" fillId="0" borderId="0" xfId="3" applyFont="1" applyBorder="1"/>
    <xf numFmtId="0" fontId="31" fillId="0" borderId="0" xfId="3" applyFont="1" applyBorder="1"/>
    <xf numFmtId="0" fontId="31" fillId="0" borderId="0" xfId="3" applyFont="1" applyBorder="1" applyAlignment="1">
      <alignment horizontal="center"/>
    </xf>
    <xf numFmtId="0" fontId="32" fillId="0" borderId="0" xfId="5" applyFont="1"/>
    <xf numFmtId="0" fontId="33" fillId="0" borderId="0" xfId="5" applyFont="1"/>
    <xf numFmtId="0" fontId="34" fillId="0" borderId="0" xfId="5" applyFont="1"/>
    <xf numFmtId="49" fontId="35" fillId="0" borderId="0" xfId="5" applyNumberFormat="1" applyFont="1" applyAlignment="1">
      <alignment horizontal="left"/>
    </xf>
    <xf numFmtId="169" fontId="11" fillId="0" borderId="0" xfId="5" applyNumberFormat="1" applyFont="1" applyAlignment="1">
      <alignment horizontal="right"/>
    </xf>
    <xf numFmtId="14" fontId="10" fillId="0" borderId="0" xfId="5" applyNumberFormat="1" applyFont="1" applyAlignment="1">
      <alignment horizontal="center"/>
    </xf>
    <xf numFmtId="0" fontId="10" fillId="0" borderId="0" xfId="5" applyFont="1" applyBorder="1"/>
    <xf numFmtId="0" fontId="31" fillId="0" borderId="0" xfId="5" applyFont="1" applyBorder="1"/>
    <xf numFmtId="0" fontId="31" fillId="0" borderId="0" xfId="5" applyFont="1" applyBorder="1" applyAlignment="1">
      <alignment horizontal="center"/>
    </xf>
    <xf numFmtId="0" fontId="11" fillId="0" borderId="0" xfId="5" applyFont="1" applyAlignment="1">
      <alignment vertical="center"/>
    </xf>
    <xf numFmtId="169" fontId="11" fillId="0" borderId="0" xfId="5" applyNumberFormat="1" applyFont="1" applyAlignment="1">
      <alignment horizontal="right" vertical="center"/>
    </xf>
    <xf numFmtId="169" fontId="11" fillId="0" borderId="0" xfId="5" applyNumberFormat="1" applyFont="1" applyBorder="1" applyAlignment="1" applyProtection="1">
      <alignment horizontal="right"/>
    </xf>
    <xf numFmtId="0" fontId="10" fillId="0" borderId="0" xfId="5" applyFont="1" applyBorder="1" applyAlignment="1">
      <alignment vertical="center"/>
    </xf>
    <xf numFmtId="0" fontId="31" fillId="0" borderId="0" xfId="5" applyFont="1" applyBorder="1" applyAlignment="1">
      <alignment vertical="center"/>
    </xf>
    <xf numFmtId="0" fontId="31" fillId="0" borderId="0" xfId="5" applyFont="1" applyBorder="1" applyAlignment="1">
      <alignment horizontal="center" vertical="center"/>
    </xf>
    <xf numFmtId="49" fontId="6" fillId="0" borderId="0" xfId="5" applyNumberFormat="1" applyFont="1" applyAlignment="1">
      <alignment horizontal="center" vertical="center"/>
    </xf>
    <xf numFmtId="49" fontId="6" fillId="0" borderId="0" xfId="5" applyNumberFormat="1" applyFont="1" applyAlignment="1">
      <alignment horizontal="left" vertical="center"/>
    </xf>
    <xf numFmtId="49" fontId="10" fillId="0" borderId="0" xfId="6" applyNumberFormat="1" applyFont="1" applyFill="1" applyBorder="1" applyAlignment="1" applyProtection="1">
      <alignment horizontal="center" vertical="center" wrapText="1"/>
    </xf>
    <xf numFmtId="49" fontId="10" fillId="0" borderId="0" xfId="6" applyNumberFormat="1" applyFont="1" applyFill="1" applyBorder="1" applyAlignment="1" applyProtection="1">
      <alignment horizontal="center" vertical="center"/>
    </xf>
    <xf numFmtId="169" fontId="10" fillId="0" borderId="0" xfId="6" applyNumberFormat="1" applyFont="1" applyFill="1" applyBorder="1" applyAlignment="1" applyProtection="1">
      <alignment horizontal="center" vertical="center"/>
    </xf>
    <xf numFmtId="9" fontId="10" fillId="0" borderId="0" xfId="6" applyNumberFormat="1" applyFont="1" applyFill="1" applyBorder="1" applyAlignment="1" applyProtection="1">
      <alignment horizontal="center" vertical="center"/>
    </xf>
    <xf numFmtId="49" fontId="10" fillId="0" borderId="0" xfId="5" applyNumberFormat="1" applyFont="1" applyBorder="1" applyAlignment="1" applyProtection="1">
      <alignment horizontal="center" vertical="center" wrapText="1"/>
    </xf>
    <xf numFmtId="169" fontId="36" fillId="0" borderId="0" xfId="5" applyNumberFormat="1" applyFont="1" applyBorder="1" applyAlignment="1" applyProtection="1">
      <alignment horizontal="center" vertical="center" wrapText="1"/>
    </xf>
    <xf numFmtId="165" fontId="36" fillId="0" borderId="0" xfId="5" applyNumberFormat="1" applyFont="1" applyBorder="1" applyAlignment="1" applyProtection="1">
      <alignment horizontal="center" vertical="center" wrapText="1"/>
    </xf>
    <xf numFmtId="49" fontId="36" fillId="0" borderId="0" xfId="5" applyNumberFormat="1" applyFont="1" applyBorder="1" applyAlignment="1" applyProtection="1">
      <alignment horizontal="center" vertical="center" wrapText="1"/>
    </xf>
    <xf numFmtId="169" fontId="34" fillId="0" borderId="0" xfId="5" applyNumberFormat="1" applyFont="1" applyBorder="1" applyAlignment="1" applyProtection="1">
      <alignment horizontal="center" vertical="center" wrapText="1"/>
    </xf>
    <xf numFmtId="165" fontId="34" fillId="0" borderId="0" xfId="5" applyNumberFormat="1" applyFont="1" applyBorder="1" applyAlignment="1" applyProtection="1">
      <alignment horizontal="center" vertical="center" wrapText="1"/>
    </xf>
    <xf numFmtId="49" fontId="34" fillId="0" borderId="0" xfId="5" applyNumberFormat="1" applyFont="1" applyBorder="1" applyAlignment="1" applyProtection="1">
      <alignment horizontal="center" vertical="center" wrapText="1"/>
    </xf>
    <xf numFmtId="0" fontId="10" fillId="0" borderId="0" xfId="6" applyFont="1" applyFill="1" applyBorder="1"/>
    <xf numFmtId="49" fontId="10" fillId="3" borderId="0" xfId="6" applyNumberFormat="1" applyFont="1" applyFill="1" applyBorder="1" applyAlignment="1" applyProtection="1">
      <alignment horizontal="center" vertical="center"/>
    </xf>
    <xf numFmtId="49" fontId="10" fillId="3" borderId="0" xfId="6" applyNumberFormat="1" applyFont="1" applyFill="1" applyBorder="1" applyAlignment="1" applyProtection="1">
      <alignment horizontal="left" vertical="center"/>
    </xf>
    <xf numFmtId="0" fontId="37" fillId="3" borderId="0" xfId="5" applyFont="1" applyFill="1" applyBorder="1" applyAlignment="1">
      <alignment vertical="center" wrapText="1"/>
    </xf>
    <xf numFmtId="9" fontId="10" fillId="3" borderId="0" xfId="6" applyNumberFormat="1" applyFont="1" applyFill="1" applyBorder="1" applyAlignment="1" applyProtection="1">
      <alignment horizontal="center" vertical="center"/>
    </xf>
    <xf numFmtId="44" fontId="10" fillId="3" borderId="0" xfId="6" applyNumberFormat="1" applyFont="1" applyFill="1" applyBorder="1" applyAlignment="1" applyProtection="1">
      <alignment horizontal="center" vertical="center"/>
    </xf>
    <xf numFmtId="44" fontId="36" fillId="3" borderId="0" xfId="6" applyNumberFormat="1" applyFont="1" applyFill="1" applyBorder="1" applyAlignment="1" applyProtection="1">
      <alignment horizontal="center" vertical="center"/>
    </xf>
    <xf numFmtId="49" fontId="11" fillId="0" borderId="0" xfId="6" applyNumberFormat="1" applyFont="1" applyFill="1" applyBorder="1" applyAlignment="1" applyProtection="1">
      <alignment horizontal="center" vertical="center"/>
    </xf>
    <xf numFmtId="49" fontId="11" fillId="0" borderId="0" xfId="5" applyNumberFormat="1" applyFont="1" applyBorder="1" applyAlignment="1">
      <alignment vertical="center"/>
    </xf>
    <xf numFmtId="0" fontId="11" fillId="0" borderId="0" xfId="5" applyFont="1" applyBorder="1" applyAlignment="1">
      <alignment vertical="center" wrapText="1"/>
    </xf>
    <xf numFmtId="0" fontId="11" fillId="0" borderId="0" xfId="5" applyFont="1" applyBorder="1" applyAlignment="1">
      <alignment vertical="center"/>
    </xf>
    <xf numFmtId="4" fontId="11" fillId="0" borderId="0" xfId="5" applyNumberFormat="1" applyFont="1" applyBorder="1" applyAlignment="1">
      <alignment vertical="center"/>
    </xf>
    <xf numFmtId="166" fontId="11" fillId="0" borderId="0" xfId="5" applyNumberFormat="1" applyFont="1" applyBorder="1" applyAlignment="1">
      <alignment vertical="center"/>
    </xf>
    <xf numFmtId="44" fontId="11" fillId="0" borderId="0" xfId="5" applyNumberFormat="1" applyFont="1" applyBorder="1" applyAlignment="1">
      <alignment vertical="center"/>
    </xf>
    <xf numFmtId="4" fontId="38" fillId="0" borderId="0" xfId="5" applyNumberFormat="1" applyFont="1" applyBorder="1" applyAlignment="1" applyProtection="1">
      <alignment horizontal="right" vertical="center" wrapText="1"/>
    </xf>
    <xf numFmtId="165" fontId="38" fillId="0" borderId="0" xfId="5" applyNumberFormat="1" applyFont="1" applyBorder="1" applyAlignment="1" applyProtection="1">
      <alignment vertical="center"/>
    </xf>
    <xf numFmtId="170" fontId="38" fillId="0" borderId="0" xfId="5" applyNumberFormat="1" applyFont="1" applyBorder="1" applyAlignment="1" applyProtection="1">
      <alignment vertical="center"/>
    </xf>
    <xf numFmtId="4" fontId="33" fillId="0" borderId="0" xfId="5" applyNumberFormat="1" applyFont="1" applyBorder="1" applyAlignment="1" applyProtection="1">
      <alignment vertical="center"/>
    </xf>
    <xf numFmtId="165" fontId="33" fillId="0" borderId="0" xfId="5" applyNumberFormat="1" applyFont="1" applyBorder="1" applyAlignment="1" applyProtection="1">
      <alignment vertical="center"/>
    </xf>
    <xf numFmtId="170" fontId="33" fillId="0" borderId="0" xfId="5" applyNumberFormat="1" applyFont="1" applyBorder="1" applyAlignment="1" applyProtection="1">
      <alignment vertical="center"/>
    </xf>
    <xf numFmtId="0" fontId="11" fillId="0" borderId="0" xfId="6" applyFont="1" applyFill="1" applyBorder="1"/>
    <xf numFmtId="0" fontId="39" fillId="0" borderId="0" xfId="5" applyFont="1" applyAlignment="1">
      <alignment vertical="center"/>
    </xf>
    <xf numFmtId="4" fontId="39" fillId="0" borderId="0" xfId="5" applyNumberFormat="1" applyFont="1" applyAlignment="1">
      <alignment vertical="center"/>
    </xf>
    <xf numFmtId="44" fontId="10" fillId="0" borderId="0" xfId="5" applyNumberFormat="1" applyFont="1" applyBorder="1" applyAlignment="1">
      <alignment vertical="center"/>
    </xf>
    <xf numFmtId="4" fontId="38" fillId="0" borderId="0" xfId="5" applyNumberFormat="1" applyFont="1" applyAlignment="1">
      <alignment horizontal="right"/>
    </xf>
    <xf numFmtId="165" fontId="38" fillId="0" borderId="0" xfId="5" applyNumberFormat="1" applyFont="1" applyAlignment="1">
      <alignment horizontal="right"/>
    </xf>
    <xf numFmtId="170" fontId="36" fillId="0" borderId="0" xfId="5" applyNumberFormat="1" applyFont="1" applyBorder="1" applyAlignment="1" applyProtection="1">
      <alignment vertical="center"/>
    </xf>
    <xf numFmtId="4" fontId="39" fillId="0" borderId="0" xfId="5" applyNumberFormat="1" applyFont="1"/>
    <xf numFmtId="165" fontId="39" fillId="0" borderId="0" xfId="5" applyNumberFormat="1" applyFont="1" applyAlignment="1"/>
    <xf numFmtId="170" fontId="34" fillId="0" borderId="0" xfId="5" applyNumberFormat="1" applyFont="1" applyBorder="1" applyAlignment="1" applyProtection="1">
      <alignment vertical="center"/>
    </xf>
    <xf numFmtId="0" fontId="39" fillId="0" borderId="0" xfId="5" applyFont="1"/>
    <xf numFmtId="0" fontId="7" fillId="0" borderId="0" xfId="5" applyFont="1" applyBorder="1" applyAlignment="1">
      <alignment vertical="center"/>
    </xf>
    <xf numFmtId="0" fontId="7" fillId="0" borderId="0" xfId="5" applyFont="1" applyBorder="1" applyAlignment="1" applyProtection="1">
      <alignment horizontal="left" vertical="center"/>
    </xf>
    <xf numFmtId="0" fontId="6" fillId="0" borderId="0" xfId="5" applyFont="1" applyBorder="1" applyAlignment="1" applyProtection="1">
      <alignment vertical="center"/>
    </xf>
    <xf numFmtId="0" fontId="7" fillId="0" borderId="0" xfId="5" applyFont="1" applyBorder="1" applyAlignment="1" applyProtection="1">
      <alignment vertical="center"/>
    </xf>
    <xf numFmtId="169" fontId="7" fillId="0" borderId="0" xfId="5" applyNumberFormat="1" applyFont="1" applyBorder="1" applyAlignment="1" applyProtection="1">
      <alignment horizontal="right" vertical="center"/>
    </xf>
    <xf numFmtId="168" fontId="6" fillId="0" borderId="0" xfId="5" applyNumberFormat="1" applyFont="1" applyBorder="1" applyAlignment="1" applyProtection="1">
      <alignment vertical="center"/>
    </xf>
    <xf numFmtId="170" fontId="6" fillId="0" borderId="0" xfId="5" applyNumberFormat="1" applyFont="1" applyBorder="1" applyAlignment="1" applyProtection="1">
      <alignment horizontal="right" vertical="center"/>
      <protection hidden="1"/>
    </xf>
    <xf numFmtId="170" fontId="40" fillId="0" borderId="0" xfId="5" applyNumberFormat="1" applyFont="1" applyBorder="1" applyAlignment="1" applyProtection="1">
      <alignment horizontal="right" vertical="center"/>
    </xf>
    <xf numFmtId="170" fontId="21" fillId="0" borderId="0" xfId="5" applyNumberFormat="1" applyFont="1" applyBorder="1" applyAlignment="1" applyProtection="1">
      <alignment horizontal="right" vertical="center"/>
    </xf>
    <xf numFmtId="170" fontId="40" fillId="0" borderId="0" xfId="5" applyNumberFormat="1" applyFont="1" applyBorder="1" applyAlignment="1" applyProtection="1">
      <alignment horizontal="right" vertical="center"/>
      <protection hidden="1"/>
    </xf>
    <xf numFmtId="170" fontId="22" fillId="0" borderId="0" xfId="5" applyNumberFormat="1" applyFont="1" applyAlignment="1">
      <alignment horizontal="right" vertical="center"/>
    </xf>
    <xf numFmtId="170" fontId="41" fillId="0" borderId="0" xfId="5" applyNumberFormat="1" applyFont="1" applyBorder="1" applyAlignment="1" applyProtection="1">
      <alignment horizontal="right" vertical="center"/>
      <protection hidden="1"/>
    </xf>
    <xf numFmtId="0" fontId="7" fillId="0" borderId="0" xfId="5" applyFont="1" applyAlignment="1">
      <alignment vertical="center"/>
    </xf>
    <xf numFmtId="0" fontId="7" fillId="0" borderId="5" xfId="5" applyFont="1" applyBorder="1" applyAlignment="1">
      <alignment vertical="center"/>
    </xf>
    <xf numFmtId="0" fontId="7" fillId="0" borderId="3" xfId="5" applyFont="1" applyBorder="1" applyAlignment="1" applyProtection="1">
      <alignment horizontal="left" vertical="center"/>
    </xf>
    <xf numFmtId="0" fontId="6" fillId="0" borderId="3" xfId="5" applyFont="1" applyBorder="1" applyAlignment="1" applyProtection="1">
      <alignment vertical="center"/>
    </xf>
    <xf numFmtId="0" fontId="7" fillId="0" borderId="3" xfId="5" applyFont="1" applyBorder="1" applyAlignment="1" applyProtection="1">
      <alignment vertical="center"/>
    </xf>
    <xf numFmtId="169" fontId="7" fillId="0" borderId="3" xfId="5" applyNumberFormat="1" applyFont="1" applyBorder="1" applyAlignment="1" applyProtection="1">
      <alignment horizontal="right" vertical="center"/>
    </xf>
    <xf numFmtId="168" fontId="6" fillId="0" borderId="3" xfId="5" applyNumberFormat="1" applyFont="1" applyBorder="1" applyAlignment="1" applyProtection="1">
      <alignment vertical="center"/>
    </xf>
    <xf numFmtId="170" fontId="6" fillId="0" borderId="3" xfId="5" applyNumberFormat="1" applyFont="1" applyBorder="1" applyAlignment="1" applyProtection="1">
      <alignment horizontal="right" vertical="center"/>
      <protection hidden="1"/>
    </xf>
    <xf numFmtId="170" fontId="40" fillId="0" borderId="3" xfId="5" applyNumberFormat="1" applyFont="1" applyBorder="1" applyAlignment="1" applyProtection="1">
      <alignment horizontal="right" vertical="center"/>
    </xf>
    <xf numFmtId="170" fontId="40" fillId="0" borderId="3" xfId="5" applyNumberFormat="1" applyFont="1" applyBorder="1" applyAlignment="1" applyProtection="1">
      <alignment horizontal="right" vertical="center"/>
      <protection hidden="1"/>
    </xf>
    <xf numFmtId="170" fontId="41" fillId="0" borderId="2" xfId="5" applyNumberFormat="1" applyFont="1" applyBorder="1" applyAlignment="1" applyProtection="1">
      <alignment horizontal="right" vertical="center"/>
      <protection hidden="1"/>
    </xf>
    <xf numFmtId="0" fontId="40" fillId="0" borderId="0" xfId="5" applyFont="1" applyAlignment="1">
      <alignment vertical="center"/>
    </xf>
    <xf numFmtId="0" fontId="22" fillId="0" borderId="0" xfId="5" applyFont="1" applyAlignment="1">
      <alignment vertical="center"/>
    </xf>
    <xf numFmtId="0" fontId="41" fillId="0" borderId="0" xfId="5" applyFont="1" applyAlignment="1">
      <alignment vertical="center"/>
    </xf>
    <xf numFmtId="0" fontId="42" fillId="0" borderId="0" xfId="5" applyFont="1" applyBorder="1" applyAlignment="1" applyProtection="1">
      <alignment horizontal="left" vertical="center"/>
    </xf>
    <xf numFmtId="0" fontId="16" fillId="0" borderId="0" xfId="5" applyFont="1" applyBorder="1" applyAlignment="1" applyProtection="1">
      <alignment vertical="center"/>
    </xf>
    <xf numFmtId="0" fontId="17" fillId="0" borderId="0" xfId="5" applyFont="1" applyBorder="1" applyAlignment="1" applyProtection="1">
      <alignment vertical="center"/>
    </xf>
    <xf numFmtId="169" fontId="17" fillId="0" borderId="0" xfId="5" applyNumberFormat="1" applyFont="1" applyBorder="1" applyAlignment="1" applyProtection="1">
      <alignment horizontal="right" vertical="center"/>
    </xf>
    <xf numFmtId="0" fontId="43" fillId="0" borderId="0" xfId="5" applyFont="1" applyBorder="1" applyAlignment="1" applyProtection="1">
      <alignment vertical="center"/>
    </xf>
    <xf numFmtId="168" fontId="40" fillId="0" borderId="0" xfId="5" applyNumberFormat="1" applyFont="1" applyBorder="1" applyAlignment="1" applyProtection="1">
      <alignment vertical="center"/>
    </xf>
    <xf numFmtId="0" fontId="29" fillId="0" borderId="0" xfId="5" applyFont="1" applyBorder="1" applyAlignment="1" applyProtection="1">
      <alignment horizontal="center" vertical="center"/>
    </xf>
    <xf numFmtId="0" fontId="6" fillId="0" borderId="0" xfId="5" applyFont="1" applyAlignment="1">
      <alignment vertical="center"/>
    </xf>
    <xf numFmtId="0" fontId="6" fillId="0" borderId="0" xfId="5" applyFont="1" applyAlignment="1">
      <alignment horizontal="right" vertical="center"/>
    </xf>
    <xf numFmtId="0" fontId="16" fillId="0" borderId="0" xfId="5" applyFont="1" applyBorder="1" applyAlignment="1" applyProtection="1">
      <alignment horizontal="right" vertical="center"/>
    </xf>
    <xf numFmtId="169" fontId="16" fillId="0" borderId="0" xfId="5" applyNumberFormat="1" applyFont="1" applyBorder="1" applyAlignment="1" applyProtection="1">
      <alignment horizontal="right" vertical="center"/>
    </xf>
    <xf numFmtId="0" fontId="43" fillId="0" borderId="0" xfId="5" applyFont="1" applyBorder="1" applyAlignment="1" applyProtection="1">
      <alignment horizontal="center" vertical="center"/>
    </xf>
    <xf numFmtId="168" fontId="6" fillId="0" borderId="0" xfId="5" applyNumberFormat="1" applyFont="1" applyBorder="1" applyAlignment="1" applyProtection="1">
      <alignment horizontal="right" vertical="center"/>
    </xf>
    <xf numFmtId="169" fontId="44" fillId="0" borderId="0" xfId="5" applyNumberFormat="1" applyFont="1" applyBorder="1" applyAlignment="1" applyProtection="1">
      <alignment horizontal="right"/>
    </xf>
    <xf numFmtId="42" fontId="19" fillId="0" borderId="0" xfId="3" applyNumberFormat="1" applyFont="1" applyBorder="1" applyAlignment="1">
      <alignment horizontal="left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49" fontId="10" fillId="0" borderId="0" xfId="6" applyNumberFormat="1" applyFont="1" applyFill="1" applyBorder="1" applyAlignment="1" applyProtection="1">
      <alignment horizontal="center" vertical="center"/>
    </xf>
    <xf numFmtId="169" fontId="10" fillId="0" borderId="0" xfId="6" applyNumberFormat="1" applyFont="1" applyFill="1" applyBorder="1" applyAlignment="1" applyProtection="1">
      <alignment horizontal="center" vertical="center"/>
    </xf>
    <xf numFmtId="9" fontId="10" fillId="0" borderId="0" xfId="6" applyNumberFormat="1" applyFont="1" applyFill="1" applyBorder="1" applyAlignment="1" applyProtection="1">
      <alignment horizontal="center" vertical="center"/>
    </xf>
    <xf numFmtId="42" fontId="19" fillId="0" borderId="0" xfId="3" applyNumberFormat="1" applyFont="1" applyBorder="1" applyAlignment="1">
      <alignment horizontal="left"/>
    </xf>
    <xf numFmtId="0" fontId="11" fillId="0" borderId="0" xfId="5" applyFont="1" applyBorder="1" applyAlignment="1">
      <alignment horizontal="left" vertical="center" wrapText="1"/>
    </xf>
    <xf numFmtId="0" fontId="11" fillId="0" borderId="0" xfId="5" applyFont="1" applyBorder="1" applyAlignment="1">
      <alignment horizontal="left" wrapText="1"/>
    </xf>
    <xf numFmtId="0" fontId="92" fillId="0" borderId="0" xfId="0" applyFont="1" applyBorder="1" applyAlignment="1">
      <alignment horizontal="center" vertical="center"/>
    </xf>
    <xf numFmtId="166" fontId="0" fillId="0" borderId="1" xfId="0" applyNumberFormat="1" applyBorder="1" applyAlignment="1">
      <alignment vertical="center"/>
    </xf>
    <xf numFmtId="166" fontId="90" fillId="0" borderId="1" xfId="0" applyNumberFormat="1" applyFont="1" applyBorder="1" applyAlignment="1">
      <alignment vertical="center"/>
    </xf>
    <xf numFmtId="166" fontId="91" fillId="0" borderId="1" xfId="0" applyNumberFormat="1" applyFont="1" applyBorder="1" applyAlignment="1">
      <alignment vertical="center"/>
    </xf>
    <xf numFmtId="0" fontId="89" fillId="0" borderId="0" xfId="253" applyBorder="1" applyAlignment="1">
      <alignment horizontal="right" vertical="center"/>
    </xf>
    <xf numFmtId="49" fontId="10" fillId="0" borderId="0" xfId="6" applyNumberFormat="1" applyFont="1" applyFill="1" applyBorder="1" applyAlignment="1" applyProtection="1">
      <alignment horizontal="center" vertical="center"/>
    </xf>
    <xf numFmtId="169" fontId="10" fillId="0" borderId="0" xfId="6" applyNumberFormat="1" applyFont="1" applyFill="1" applyBorder="1" applyAlignment="1" applyProtection="1">
      <alignment horizontal="center" vertical="center"/>
    </xf>
    <xf numFmtId="9" fontId="10" fillId="0" borderId="0" xfId="6" applyNumberFormat="1" applyFont="1" applyFill="1" applyBorder="1" applyAlignment="1" applyProtection="1">
      <alignment horizontal="center" vertical="center"/>
    </xf>
    <xf numFmtId="170" fontId="33" fillId="0" borderId="0" xfId="5" applyNumberFormat="1" applyFont="1"/>
    <xf numFmtId="170" fontId="34" fillId="0" borderId="0" xfId="5" applyNumberFormat="1" applyFont="1"/>
    <xf numFmtId="170" fontId="41" fillId="0" borderId="0" xfId="5" applyNumberFormat="1" applyFont="1" applyAlignment="1">
      <alignment vertical="center"/>
    </xf>
    <xf numFmtId="170" fontId="11" fillId="0" borderId="0" xfId="5" applyNumberFormat="1" applyFont="1" applyBorder="1" applyAlignment="1" applyProtection="1">
      <alignment vertical="center"/>
    </xf>
    <xf numFmtId="4" fontId="11" fillId="0" borderId="0" xfId="5" applyNumberFormat="1" applyFont="1" applyAlignment="1">
      <alignment vertical="center"/>
    </xf>
    <xf numFmtId="179" fontId="4" fillId="0" borderId="0" xfId="0" applyNumberFormat="1" applyFont="1" applyBorder="1" applyAlignment="1">
      <alignment horizontal="center" vertical="center"/>
    </xf>
    <xf numFmtId="4" fontId="4" fillId="0" borderId="0" xfId="0" applyNumberFormat="1" applyFont="1" applyBorder="1" applyAlignment="1" applyProtection="1">
      <alignment horizontal="right" vertical="center"/>
      <protection locked="0"/>
    </xf>
    <xf numFmtId="4" fontId="1" fillId="0" borderId="0" xfId="250" applyNumberFormat="1" applyAlignment="1">
      <alignment horizontal="right" vertical="center"/>
    </xf>
    <xf numFmtId="0" fontId="95" fillId="0" borderId="0" xfId="5" applyFont="1" applyBorder="1" applyAlignment="1">
      <alignment vertical="center" wrapText="1"/>
    </xf>
    <xf numFmtId="0" fontId="96" fillId="0" borderId="0" xfId="5" applyFont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170" fontId="39" fillId="0" borderId="0" xfId="5" applyNumberFormat="1" applyFont="1"/>
    <xf numFmtId="42" fontId="4" fillId="0" borderId="0" xfId="5" applyNumberFormat="1" applyFont="1" applyFill="1" applyAlignment="1"/>
    <xf numFmtId="42" fontId="4" fillId="0" borderId="0" xfId="5" applyNumberFormat="1" applyFont="1" applyFill="1" applyAlignment="1">
      <alignment horizontal="left"/>
    </xf>
    <xf numFmtId="42" fontId="4" fillId="0" borderId="0" xfId="0" applyNumberFormat="1" applyFont="1" applyAlignment="1">
      <alignment horizontal="left" vertical="center"/>
    </xf>
    <xf numFmtId="170" fontId="94" fillId="0" borderId="2" xfId="5" applyNumberFormat="1" applyFont="1" applyBorder="1" applyAlignment="1" applyProtection="1">
      <alignment horizontal="right" vertical="center"/>
      <protection hidden="1"/>
    </xf>
    <xf numFmtId="0" fontId="6" fillId="0" borderId="0" xfId="5" applyFont="1" applyAlignment="1">
      <alignment horizontal="left" vertical="center"/>
    </xf>
    <xf numFmtId="0" fontId="97" fillId="0" borderId="0" xfId="5" applyFont="1"/>
    <xf numFmtId="0" fontId="97" fillId="0" borderId="0" xfId="5" applyFont="1" applyAlignment="1">
      <alignment vertical="center"/>
    </xf>
    <xf numFmtId="44" fontId="93" fillId="0" borderId="0" xfId="5" applyNumberFormat="1" applyFont="1"/>
    <xf numFmtId="0" fontId="98" fillId="0" borderId="0" xfId="6" applyFont="1" applyFill="1" applyBorder="1"/>
    <xf numFmtId="0" fontId="98" fillId="0" borderId="0" xfId="5" applyFont="1"/>
    <xf numFmtId="0" fontId="99" fillId="0" borderId="0" xfId="6" applyFont="1" applyFill="1" applyBorder="1"/>
    <xf numFmtId="166" fontId="11" fillId="28" borderId="0" xfId="5" applyNumberFormat="1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167" fontId="4" fillId="0" borderId="0" xfId="4" applyNumberFormat="1" applyFont="1" applyAlignment="1">
      <alignment horizontal="right" vertical="center"/>
    </xf>
    <xf numFmtId="42" fontId="19" fillId="0" borderId="0" xfId="3" applyNumberFormat="1" applyFont="1" applyBorder="1" applyAlignment="1">
      <alignment horizontal="left" vertical="center"/>
    </xf>
    <xf numFmtId="44" fontId="24" fillId="0" borderId="0" xfId="5" applyNumberFormat="1" applyFont="1" applyAlignment="1">
      <alignment vertical="center"/>
    </xf>
    <xf numFmtId="42" fontId="12" fillId="0" borderId="0" xfId="3" applyNumberFormat="1" applyFont="1" applyAlignment="1">
      <alignment vertical="center"/>
    </xf>
    <xf numFmtId="0" fontId="4" fillId="0" borderId="0" xfId="3" applyFont="1" applyBorder="1" applyAlignment="1">
      <alignment horizontal="right" vertical="center"/>
    </xf>
    <xf numFmtId="42" fontId="4" fillId="0" borderId="0" xfId="0" applyNumberFormat="1" applyFont="1" applyAlignment="1">
      <alignment vertical="center"/>
    </xf>
    <xf numFmtId="0" fontId="17" fillId="0" borderId="0" xfId="3" applyFont="1" applyAlignment="1">
      <alignment vertical="center"/>
    </xf>
    <xf numFmtId="44" fontId="26" fillId="0" borderId="0" xfId="3" applyNumberFormat="1" applyFont="1" applyAlignment="1">
      <alignment vertical="center"/>
    </xf>
    <xf numFmtId="0" fontId="6" fillId="0" borderId="0" xfId="0" applyFont="1" applyAlignment="1">
      <alignment horizontal="right" vertical="center"/>
    </xf>
    <xf numFmtId="166" fontId="6" fillId="0" borderId="0" xfId="0" applyNumberFormat="1" applyFont="1" applyAlignment="1">
      <alignment vertical="center"/>
    </xf>
    <xf numFmtId="166" fontId="93" fillId="0" borderId="0" xfId="0" applyNumberFormat="1" applyFont="1" applyAlignment="1">
      <alignment vertical="center"/>
    </xf>
    <xf numFmtId="166" fontId="94" fillId="0" borderId="0" xfId="0" applyNumberFormat="1" applyFont="1" applyAlignment="1">
      <alignment vertical="center"/>
    </xf>
    <xf numFmtId="166" fontId="0" fillId="0" borderId="0" xfId="0" applyNumberFormat="1" applyAlignment="1">
      <alignment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92" fillId="0" borderId="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88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169" fontId="10" fillId="0" borderId="0" xfId="5" applyNumberFormat="1" applyFont="1" applyAlignment="1">
      <alignment horizontal="center" vertical="center"/>
    </xf>
    <xf numFmtId="169" fontId="36" fillId="0" borderId="0" xfId="5" applyNumberFormat="1" applyFont="1" applyAlignment="1">
      <alignment horizontal="center" vertical="center"/>
    </xf>
    <xf numFmtId="169" fontId="34" fillId="0" borderId="0" xfId="5" applyNumberFormat="1" applyFont="1" applyAlignment="1">
      <alignment horizontal="center" vertical="center"/>
    </xf>
    <xf numFmtId="49" fontId="6" fillId="0" borderId="0" xfId="5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</cellXfs>
  <cellStyles count="254">
    <cellStyle name="_02 Výkaz výměr BS" xfId="11" xr:uid="{00000000-0005-0000-0000-000000000000}"/>
    <cellStyle name="_02 Výkaz výměr EPS" xfId="12" xr:uid="{00000000-0005-0000-0000-000001000000}"/>
    <cellStyle name="_07-Výkaz výměr" xfId="13" xr:uid="{00000000-0005-0000-0000-000002000000}"/>
    <cellStyle name="_704-2008, Jesenice, holá cena, 14.2.2008" xfId="14" xr:uid="{00000000-0005-0000-0000-000003000000}"/>
    <cellStyle name="_851-2008, Rakovník, Provozní soubory, holá cena 10.12.2008" xfId="15" xr:uid="{00000000-0005-0000-0000-000004000000}"/>
    <cellStyle name="_C.1.10.1 Rozpočet EPS" xfId="16" xr:uid="{00000000-0005-0000-0000-000005000000}"/>
    <cellStyle name="_C.1.10.2 Rozpočet BS" xfId="17" xr:uid="{00000000-0005-0000-0000-000006000000}"/>
    <cellStyle name="_C.1.3 Rozpočet ZTI" xfId="18" xr:uid="{00000000-0005-0000-0000-000007000000}"/>
    <cellStyle name="_C.1.4 Rozpočet ÚT" xfId="19" xr:uid="{00000000-0005-0000-0000-000008000000}"/>
    <cellStyle name="_C.1.5 Rozpočet VZT" xfId="20" xr:uid="{00000000-0005-0000-0000-000009000000}"/>
    <cellStyle name="_C.1.6 Rozpočet CHL" xfId="21" xr:uid="{00000000-0005-0000-0000-00000A000000}"/>
    <cellStyle name="_C.1.7 Rozpočet MaR" xfId="22" xr:uid="{00000000-0005-0000-0000-00000B000000}"/>
    <cellStyle name="_C.1.7_vykazv_MaR" xfId="23" xr:uid="{00000000-0005-0000-0000-00000C000000}"/>
    <cellStyle name="_C.1.8 Rozpočet SILNO" xfId="24" xr:uid="{00000000-0005-0000-0000-00000D000000}"/>
    <cellStyle name="_C.4 Rozpočet Přípojka elektro" xfId="25" xr:uid="{00000000-0005-0000-0000-00000E000000}"/>
    <cellStyle name="_C4_04_Vřkaz vřmýr" xfId="26" xr:uid="{00000000-0005-0000-0000-00000F000000}"/>
    <cellStyle name="_EL-výkaz-ceny Záběhlická" xfId="27" xr:uid="{00000000-0005-0000-0000-000010000000}"/>
    <cellStyle name="_export_KROS" xfId="28" xr:uid="{00000000-0005-0000-0000-000011000000}"/>
    <cellStyle name="_PS 01 Rozpočet - stl. vzduch technický" xfId="29" xr:uid="{00000000-0005-0000-0000-000012000000}"/>
    <cellStyle name="_PS 01 Rozpočet - stolový výtah" xfId="30" xr:uid="{00000000-0005-0000-0000-000013000000}"/>
    <cellStyle name="_PS 01 Rozpočet - vysavač" xfId="31" xr:uid="{00000000-0005-0000-0000-000014000000}"/>
    <cellStyle name="_PS 01 Rozpočet -jeřáb" xfId="32" xr:uid="{00000000-0005-0000-0000-000015000000}"/>
    <cellStyle name="_Rozpočet_Buštěhrad" xfId="33" xr:uid="{00000000-0005-0000-0000-000016000000}"/>
    <cellStyle name="_SO_PS_Louny_VV, holá cena 1.7.2008" xfId="34" xr:uid="{00000000-0005-0000-0000-000017000000}"/>
    <cellStyle name="_SO-01-00_SLP_SPECIFIKACE MATERIÁLU" xfId="35" xr:uid="{00000000-0005-0000-0000-000018000000}"/>
    <cellStyle name="_SO-02-00_SLP_SPECIFIKACE MATERIÁLU" xfId="36" xr:uid="{00000000-0005-0000-0000-000019000000}"/>
    <cellStyle name="_SO-0307_SLP_SPEC  MATERIÁLU" xfId="37" xr:uid="{00000000-0005-0000-0000-00001A000000}"/>
    <cellStyle name="_Třebotov, rozpočet technologie, holá cena 4.10.2008" xfId="38" xr:uid="{00000000-0005-0000-0000-00001B000000}"/>
    <cellStyle name="_Výkaz výměr - simulátory, stlačený vzduch" xfId="39" xr:uid="{00000000-0005-0000-0000-00001C000000}"/>
    <cellStyle name="_Výkaz výměr - stolový výtah" xfId="40" xr:uid="{00000000-0005-0000-0000-00001D000000}"/>
    <cellStyle name="_Výkaz výměr - vysavač" xfId="41" xr:uid="{00000000-0005-0000-0000-00001E000000}"/>
    <cellStyle name="_Výkaz výměr -jeřáb" xfId="42" xr:uid="{00000000-0005-0000-0000-00001F000000}"/>
    <cellStyle name="_Výkaz výměr_Chlazení" xfId="43" xr:uid="{00000000-0005-0000-0000-000020000000}"/>
    <cellStyle name="_Výkaz výměr_Silnoproud" xfId="44" xr:uid="{00000000-0005-0000-0000-000021000000}"/>
    <cellStyle name="_Výkaz výměr_Slaboproud" xfId="45" xr:uid="{00000000-0005-0000-0000-000022000000}"/>
    <cellStyle name="_Výkaz výměr_UT" xfId="46" xr:uid="{00000000-0005-0000-0000-000023000000}"/>
    <cellStyle name="_Výkaz výměr_VZT" xfId="47" xr:uid="{00000000-0005-0000-0000-000024000000}"/>
    <cellStyle name="_Výkaz výměr-Medicinský vzduch" xfId="48" xr:uid="{00000000-0005-0000-0000-000025000000}"/>
    <cellStyle name="_ZTI" xfId="49" xr:uid="{00000000-0005-0000-0000-000026000000}"/>
    <cellStyle name="20 % – Zvýraznění1 2" xfId="50" xr:uid="{00000000-0005-0000-0000-000027000000}"/>
    <cellStyle name="20 % – Zvýraznění2 2" xfId="51" xr:uid="{00000000-0005-0000-0000-000028000000}"/>
    <cellStyle name="20 % – Zvýraznění3 2" xfId="52" xr:uid="{00000000-0005-0000-0000-000029000000}"/>
    <cellStyle name="20 % – Zvýraznění4 2" xfId="53" xr:uid="{00000000-0005-0000-0000-00002A000000}"/>
    <cellStyle name="20 % – Zvýraznění5 2" xfId="54" xr:uid="{00000000-0005-0000-0000-00002B000000}"/>
    <cellStyle name="20 % – Zvýraznění6 2" xfId="55" xr:uid="{00000000-0005-0000-0000-00002C000000}"/>
    <cellStyle name="20% - Accent1" xfId="56" xr:uid="{00000000-0005-0000-0000-00002D000000}"/>
    <cellStyle name="20% - Accent2" xfId="57" xr:uid="{00000000-0005-0000-0000-00002E000000}"/>
    <cellStyle name="20% - Accent3" xfId="58" xr:uid="{00000000-0005-0000-0000-00002F000000}"/>
    <cellStyle name="20% - Accent4" xfId="59" xr:uid="{00000000-0005-0000-0000-000030000000}"/>
    <cellStyle name="20% - Accent5" xfId="60" xr:uid="{00000000-0005-0000-0000-000031000000}"/>
    <cellStyle name="20% - Accent6" xfId="61" xr:uid="{00000000-0005-0000-0000-000032000000}"/>
    <cellStyle name="40 % – Zvýraznění1 2" xfId="62" xr:uid="{00000000-0005-0000-0000-000033000000}"/>
    <cellStyle name="40 % – Zvýraznění2 2" xfId="63" xr:uid="{00000000-0005-0000-0000-000034000000}"/>
    <cellStyle name="40 % – Zvýraznění3 2" xfId="64" xr:uid="{00000000-0005-0000-0000-000035000000}"/>
    <cellStyle name="40 % – Zvýraznění4 2" xfId="65" xr:uid="{00000000-0005-0000-0000-000036000000}"/>
    <cellStyle name="40 % – Zvýraznění5 2" xfId="66" xr:uid="{00000000-0005-0000-0000-000037000000}"/>
    <cellStyle name="40 % – Zvýraznění6 2" xfId="67" xr:uid="{00000000-0005-0000-0000-000038000000}"/>
    <cellStyle name="40% - Accent1" xfId="68" xr:uid="{00000000-0005-0000-0000-000039000000}"/>
    <cellStyle name="40% - Accent2" xfId="69" xr:uid="{00000000-0005-0000-0000-00003A000000}"/>
    <cellStyle name="40% - Accent3" xfId="70" xr:uid="{00000000-0005-0000-0000-00003B000000}"/>
    <cellStyle name="40% - Accent4" xfId="71" xr:uid="{00000000-0005-0000-0000-00003C000000}"/>
    <cellStyle name="40% - Accent5" xfId="72" xr:uid="{00000000-0005-0000-0000-00003D000000}"/>
    <cellStyle name="40% - Accent6" xfId="73" xr:uid="{00000000-0005-0000-0000-00003E000000}"/>
    <cellStyle name="60 % – Zvýraznění1 2" xfId="74" xr:uid="{00000000-0005-0000-0000-00003F000000}"/>
    <cellStyle name="60 % – Zvýraznění2 2" xfId="75" xr:uid="{00000000-0005-0000-0000-000040000000}"/>
    <cellStyle name="60 % – Zvýraznění3 2" xfId="76" xr:uid="{00000000-0005-0000-0000-000041000000}"/>
    <cellStyle name="60 % – Zvýraznění4 2" xfId="77" xr:uid="{00000000-0005-0000-0000-000042000000}"/>
    <cellStyle name="60 % – Zvýraznění5 2" xfId="78" xr:uid="{00000000-0005-0000-0000-000043000000}"/>
    <cellStyle name="60 % – Zvýraznění6 2" xfId="79" xr:uid="{00000000-0005-0000-0000-000044000000}"/>
    <cellStyle name="60% - Accent1" xfId="80" xr:uid="{00000000-0005-0000-0000-000045000000}"/>
    <cellStyle name="60% - Accent2" xfId="81" xr:uid="{00000000-0005-0000-0000-000046000000}"/>
    <cellStyle name="60% - Accent3" xfId="82" xr:uid="{00000000-0005-0000-0000-000047000000}"/>
    <cellStyle name="60% - Accent4" xfId="83" xr:uid="{00000000-0005-0000-0000-000048000000}"/>
    <cellStyle name="60% - Accent5" xfId="84" xr:uid="{00000000-0005-0000-0000-000049000000}"/>
    <cellStyle name="60% - Accent6" xfId="85" xr:uid="{00000000-0005-0000-0000-00004A000000}"/>
    <cellStyle name="Accent1" xfId="86" xr:uid="{00000000-0005-0000-0000-00004B000000}"/>
    <cellStyle name="Accent2" xfId="87" xr:uid="{00000000-0005-0000-0000-00004C000000}"/>
    <cellStyle name="Accent3" xfId="88" xr:uid="{00000000-0005-0000-0000-00004D000000}"/>
    <cellStyle name="Accent4" xfId="89" xr:uid="{00000000-0005-0000-0000-00004E000000}"/>
    <cellStyle name="Accent5" xfId="90" xr:uid="{00000000-0005-0000-0000-00004F000000}"/>
    <cellStyle name="Accent6" xfId="91" xr:uid="{00000000-0005-0000-0000-000050000000}"/>
    <cellStyle name="Bad" xfId="92" xr:uid="{00000000-0005-0000-0000-000051000000}"/>
    <cellStyle name="blokcen" xfId="93" xr:uid="{00000000-0005-0000-0000-000052000000}"/>
    <cellStyle name="Calculation" xfId="94" xr:uid="{00000000-0005-0000-0000-000053000000}"/>
    <cellStyle name="Celkem 2" xfId="95" xr:uid="{00000000-0005-0000-0000-000054000000}"/>
    <cellStyle name="Comma [0]_laroux" xfId="96" xr:uid="{00000000-0005-0000-0000-000055000000}"/>
    <cellStyle name="Comma_106e" xfId="97" xr:uid="{00000000-0005-0000-0000-000056000000}"/>
    <cellStyle name="Currency [0]_Analogové přístroje Euroset 8xx" xfId="98" xr:uid="{00000000-0005-0000-0000-000057000000}"/>
    <cellStyle name="Currency_106e" xfId="99" xr:uid="{00000000-0005-0000-0000-000058000000}"/>
    <cellStyle name="Čárka 2" xfId="100" xr:uid="{00000000-0005-0000-0000-000059000000}"/>
    <cellStyle name="Čárka 3" xfId="252" xr:uid="{8C69A64E-6E51-4CA2-9DEB-8DFAD8150467}"/>
    <cellStyle name="čárky [0]_cluster1" xfId="101" xr:uid="{00000000-0005-0000-0000-00005A000000}"/>
    <cellStyle name="čárky 2" xfId="7" xr:uid="{00000000-0005-0000-0000-00005B000000}"/>
    <cellStyle name="čárky 2 2" xfId="236" xr:uid="{00000000-0005-0000-0000-00005C000000}"/>
    <cellStyle name="čárky 3" xfId="232" xr:uid="{00000000-0005-0000-0000-00005D000000}"/>
    <cellStyle name="Dezimal [0]_Tabelle1" xfId="102" xr:uid="{00000000-0005-0000-0000-00005E000000}"/>
    <cellStyle name="Dezimal_Tabelle1" xfId="103" xr:uid="{00000000-0005-0000-0000-00005F000000}"/>
    <cellStyle name="Explanatory Text" xfId="104" xr:uid="{00000000-0005-0000-0000-000060000000}"/>
    <cellStyle name="Firma" xfId="105" xr:uid="{00000000-0005-0000-0000-000061000000}"/>
    <cellStyle name="Flag" xfId="106" xr:uid="{00000000-0005-0000-0000-000062000000}"/>
    <cellStyle name="Flag 2" xfId="107" xr:uid="{00000000-0005-0000-0000-000063000000}"/>
    <cellStyle name="Flag 3" xfId="108" xr:uid="{00000000-0005-0000-0000-000064000000}"/>
    <cellStyle name="Flag_Kalkulace_0900067_SŘ" xfId="109" xr:uid="{00000000-0005-0000-0000-000065000000}"/>
    <cellStyle name="Followed Hyperlink" xfId="110" xr:uid="{00000000-0005-0000-0000-000066000000}"/>
    <cellStyle name="Good" xfId="111" xr:uid="{00000000-0005-0000-0000-000067000000}"/>
    <cellStyle name="Heading 1" xfId="112" xr:uid="{00000000-0005-0000-0000-000068000000}"/>
    <cellStyle name="Heading 2" xfId="113" xr:uid="{00000000-0005-0000-0000-000069000000}"/>
    <cellStyle name="Heading 3" xfId="114" xr:uid="{00000000-0005-0000-0000-00006A000000}"/>
    <cellStyle name="Heading 4" xfId="115" xr:uid="{00000000-0005-0000-0000-00006B000000}"/>
    <cellStyle name="Heading2" xfId="116" xr:uid="{00000000-0005-0000-0000-00006C000000}"/>
    <cellStyle name="Heading2 2" xfId="117" xr:uid="{00000000-0005-0000-0000-00006D000000}"/>
    <cellStyle name="Heading2 3" xfId="118" xr:uid="{00000000-0005-0000-0000-00006E000000}"/>
    <cellStyle name="Heading2_Kalkulace_0900067_SŘ" xfId="119" xr:uid="{00000000-0005-0000-0000-00006F000000}"/>
    <cellStyle name="Heading3" xfId="120" xr:uid="{00000000-0005-0000-0000-000070000000}"/>
    <cellStyle name="Heading3 2" xfId="121" xr:uid="{00000000-0005-0000-0000-000071000000}"/>
    <cellStyle name="Heading3 3" xfId="122" xr:uid="{00000000-0005-0000-0000-000072000000}"/>
    <cellStyle name="Heading3_Kalkulace_0900067_SŘ" xfId="123" xr:uid="{00000000-0005-0000-0000-000073000000}"/>
    <cellStyle name="hlavicka" xfId="124" xr:uid="{00000000-0005-0000-0000-000074000000}"/>
    <cellStyle name="hlavicka 2" xfId="125" xr:uid="{00000000-0005-0000-0000-000075000000}"/>
    <cellStyle name="hlavicka 3" xfId="126" xr:uid="{00000000-0005-0000-0000-000076000000}"/>
    <cellStyle name="hlavickatucne" xfId="127" xr:uid="{00000000-0005-0000-0000-000077000000}"/>
    <cellStyle name="hlavickatucne 2" xfId="128" xr:uid="{00000000-0005-0000-0000-000078000000}"/>
    <cellStyle name="hlavickatucne 3" xfId="129" xr:uid="{00000000-0005-0000-0000-000079000000}"/>
    <cellStyle name="hlavickatucnecentrum" xfId="130" xr:uid="{00000000-0005-0000-0000-00007A000000}"/>
    <cellStyle name="hlavickatucnecentrum 2" xfId="131" xr:uid="{00000000-0005-0000-0000-00007B000000}"/>
    <cellStyle name="hlavickatucnecentrum 3" xfId="132" xr:uid="{00000000-0005-0000-0000-00007C000000}"/>
    <cellStyle name="hlavička 1" xfId="133" xr:uid="{00000000-0005-0000-0000-00007D000000}"/>
    <cellStyle name="hlavička 2" xfId="134" xr:uid="{00000000-0005-0000-0000-00007E000000}"/>
    <cellStyle name="hlavička 3" xfId="135" xr:uid="{00000000-0005-0000-0000-00007F000000}"/>
    <cellStyle name="Hlavní nadpis" xfId="136" xr:uid="{00000000-0005-0000-0000-000080000000}"/>
    <cellStyle name="Horizontal" xfId="137" xr:uid="{00000000-0005-0000-0000-000081000000}"/>
    <cellStyle name="Hyperlink" xfId="138" xr:uid="{00000000-0005-0000-0000-000082000000}"/>
    <cellStyle name="Check Cell" xfId="139" xr:uid="{00000000-0005-0000-0000-000083000000}"/>
    <cellStyle name="Chybně 2" xfId="140" xr:uid="{00000000-0005-0000-0000-000084000000}"/>
    <cellStyle name="Input" xfId="141" xr:uid="{00000000-0005-0000-0000-000085000000}"/>
    <cellStyle name="Kontrolní buňka 2" xfId="142" xr:uid="{00000000-0005-0000-0000-000086000000}"/>
    <cellStyle name="Linked Cell" xfId="143" xr:uid="{00000000-0005-0000-0000-000087000000}"/>
    <cellStyle name="měny 2" xfId="144" xr:uid="{00000000-0005-0000-0000-000088000000}"/>
    <cellStyle name="měny 3" xfId="145" xr:uid="{00000000-0005-0000-0000-000089000000}"/>
    <cellStyle name="nadpis" xfId="146" xr:uid="{00000000-0005-0000-0000-00008A000000}"/>
    <cellStyle name="Nadpis 1 2" xfId="147" xr:uid="{00000000-0005-0000-0000-00008B000000}"/>
    <cellStyle name="Nadpis 2 2" xfId="148" xr:uid="{00000000-0005-0000-0000-00008C000000}"/>
    <cellStyle name="Nadpis 3 2" xfId="149" xr:uid="{00000000-0005-0000-0000-00008D000000}"/>
    <cellStyle name="Nadpis 4 2" xfId="150" xr:uid="{00000000-0005-0000-0000-00008E000000}"/>
    <cellStyle name="Název 2" xfId="151" xr:uid="{00000000-0005-0000-0000-00008F000000}"/>
    <cellStyle name="Neutral" xfId="152" xr:uid="{00000000-0005-0000-0000-000090000000}"/>
    <cellStyle name="Neutrální 2" xfId="153" xr:uid="{00000000-0005-0000-0000-000091000000}"/>
    <cellStyle name="normal" xfId="154" xr:uid="{00000000-0005-0000-0000-000092000000}"/>
    <cellStyle name="Normální" xfId="0" builtinId="0"/>
    <cellStyle name="Normální 10" xfId="253" xr:uid="{3A454D7A-916C-4BA8-9E84-49191262B1B5}"/>
    <cellStyle name="normální 2" xfId="5" xr:uid="{00000000-0005-0000-0000-000094000000}"/>
    <cellStyle name="normální 2 2" xfId="8" xr:uid="{00000000-0005-0000-0000-000095000000}"/>
    <cellStyle name="normální 2_1536-2012, Dolní Domaslavice, holá cena 13.1.2012" xfId="155" xr:uid="{00000000-0005-0000-0000-000096000000}"/>
    <cellStyle name="normální 3" xfId="2" xr:uid="{00000000-0005-0000-0000-000097000000}"/>
    <cellStyle name="normální 3 2" xfId="156" xr:uid="{00000000-0005-0000-0000-000098000000}"/>
    <cellStyle name="normální 3 2 2" xfId="157" xr:uid="{00000000-0005-0000-0000-000099000000}"/>
    <cellStyle name="Normální 3 3" xfId="234" xr:uid="{00000000-0005-0000-0000-00009A000000}"/>
    <cellStyle name="Normální 3 4" xfId="249" xr:uid="{00000000-0005-0000-0000-00009B000000}"/>
    <cellStyle name="Normální 3 5" xfId="239" xr:uid="{00000000-0005-0000-0000-00009C000000}"/>
    <cellStyle name="Normální 3 6" xfId="245" xr:uid="{00000000-0005-0000-0000-00009D000000}"/>
    <cellStyle name="Normální 3 7" xfId="237" xr:uid="{00000000-0005-0000-0000-00009E000000}"/>
    <cellStyle name="Normální 3 8" xfId="243" xr:uid="{00000000-0005-0000-0000-00009F000000}"/>
    <cellStyle name="Normální 3 9" xfId="238" xr:uid="{00000000-0005-0000-0000-0000A0000000}"/>
    <cellStyle name="normální 3_1536-2012, Dolní Domaslavice, holá cena 13.1.2012" xfId="158" xr:uid="{00000000-0005-0000-0000-0000A1000000}"/>
    <cellStyle name="normální 4" xfId="10" xr:uid="{00000000-0005-0000-0000-0000A2000000}"/>
    <cellStyle name="normální 4 2" xfId="159" xr:uid="{00000000-0005-0000-0000-0000A3000000}"/>
    <cellStyle name="normální 4 2 2" xfId="160" xr:uid="{00000000-0005-0000-0000-0000A4000000}"/>
    <cellStyle name="Normální 4 3" xfId="235" xr:uid="{00000000-0005-0000-0000-0000A5000000}"/>
    <cellStyle name="Normální 4 4" xfId="248" xr:uid="{00000000-0005-0000-0000-0000A6000000}"/>
    <cellStyle name="Normální 4 5" xfId="240" xr:uid="{00000000-0005-0000-0000-0000A7000000}"/>
    <cellStyle name="Normální 4 6" xfId="244" xr:uid="{00000000-0005-0000-0000-0000A8000000}"/>
    <cellStyle name="Normální 4 7" xfId="242" xr:uid="{00000000-0005-0000-0000-0000A9000000}"/>
    <cellStyle name="Normální 4 8" xfId="241" xr:uid="{00000000-0005-0000-0000-0000AA000000}"/>
    <cellStyle name="Normální 4 9" xfId="246" xr:uid="{00000000-0005-0000-0000-0000AB000000}"/>
    <cellStyle name="normální 4_1536-2012, Dolní Domaslavice, holá cena 13.1.2012" xfId="161" xr:uid="{00000000-0005-0000-0000-0000AC000000}"/>
    <cellStyle name="normální 5" xfId="162" xr:uid="{00000000-0005-0000-0000-0000AD000000}"/>
    <cellStyle name="normální 6" xfId="163" xr:uid="{00000000-0005-0000-0000-0000AE000000}"/>
    <cellStyle name="normální 7" xfId="164" xr:uid="{00000000-0005-0000-0000-0000AF000000}"/>
    <cellStyle name="normální 8" xfId="233" xr:uid="{00000000-0005-0000-0000-0000B0000000}"/>
    <cellStyle name="Normální 9" xfId="251" xr:uid="{FED03A42-AC08-4271-85B3-1D5113645653}"/>
    <cellStyle name="Normální 92" xfId="250" xr:uid="{1BBF0B02-31DF-4A88-96F4-C93D02EE03C9}"/>
    <cellStyle name="normální_4948_Odbytovy_rozpocet-Rusek" xfId="6" xr:uid="{00000000-0005-0000-0000-0000B1000000}"/>
    <cellStyle name="normální_Agregované položky akce389" xfId="4" xr:uid="{00000000-0005-0000-0000-0000B3000000}"/>
    <cellStyle name="normální_Pekapitulace výkazu výměr" xfId="3" xr:uid="{00000000-0005-0000-0000-0000B5000000}"/>
    <cellStyle name="Note" xfId="165" xr:uid="{00000000-0005-0000-0000-0000B6000000}"/>
    <cellStyle name="Note 2" xfId="166" xr:uid="{00000000-0005-0000-0000-0000B7000000}"/>
    <cellStyle name="Note 3" xfId="167" xr:uid="{00000000-0005-0000-0000-0000B8000000}"/>
    <cellStyle name="Note_1636-2012, Vysoký Újezd, ČS se separací EMUPORT, holá cena, 8.6.2012" xfId="168" xr:uid="{00000000-0005-0000-0000-0000B9000000}"/>
    <cellStyle name="Option" xfId="169" xr:uid="{00000000-0005-0000-0000-0000BA000000}"/>
    <cellStyle name="OptionHeading" xfId="170" xr:uid="{00000000-0005-0000-0000-0000BB000000}"/>
    <cellStyle name="OptionHeading 2" xfId="171" xr:uid="{00000000-0005-0000-0000-0000BC000000}"/>
    <cellStyle name="OptionHeading 3" xfId="172" xr:uid="{00000000-0005-0000-0000-0000BD000000}"/>
    <cellStyle name="OptionHeading_Kalkulace_0900067_SŘ" xfId="173" xr:uid="{00000000-0005-0000-0000-0000BE000000}"/>
    <cellStyle name="Output" xfId="174" xr:uid="{00000000-0005-0000-0000-0000BF000000}"/>
    <cellStyle name="Podnadpis" xfId="175" xr:uid="{00000000-0005-0000-0000-0000C0000000}"/>
    <cellStyle name="podpolozka" xfId="176" xr:uid="{00000000-0005-0000-0000-0000C1000000}"/>
    <cellStyle name="podpolozka 2" xfId="177" xr:uid="{00000000-0005-0000-0000-0000C2000000}"/>
    <cellStyle name="podpolozka 3" xfId="178" xr:uid="{00000000-0005-0000-0000-0000C3000000}"/>
    <cellStyle name="Poznámka 2" xfId="179" xr:uid="{00000000-0005-0000-0000-0000C4000000}"/>
    <cellStyle name="Price" xfId="180" xr:uid="{00000000-0005-0000-0000-0000C5000000}"/>
    <cellStyle name="Price 2" xfId="181" xr:uid="{00000000-0005-0000-0000-0000C6000000}"/>
    <cellStyle name="Price 3" xfId="182" xr:uid="{00000000-0005-0000-0000-0000C7000000}"/>
    <cellStyle name="Price_Kalkulace_0900067_SŘ" xfId="183" xr:uid="{00000000-0005-0000-0000-0000C8000000}"/>
    <cellStyle name="procent 2" xfId="9" xr:uid="{00000000-0005-0000-0000-0000CA000000}"/>
    <cellStyle name="procent 3" xfId="231" xr:uid="{00000000-0005-0000-0000-0000CB000000}"/>
    <cellStyle name="Propojená buňka 2" xfId="184" xr:uid="{00000000-0005-0000-0000-0000CC000000}"/>
    <cellStyle name="Správně 2" xfId="185" xr:uid="{00000000-0005-0000-0000-0000CD000000}"/>
    <cellStyle name="Standard_aktuell" xfId="186" xr:uid="{00000000-0005-0000-0000-0000CE000000}"/>
    <cellStyle name="Stín+tučně" xfId="187" xr:uid="{00000000-0005-0000-0000-0000CF000000}"/>
    <cellStyle name="Stín+tučně+velké písmo" xfId="188" xr:uid="{00000000-0005-0000-0000-0000D0000000}"/>
    <cellStyle name="Styl 1" xfId="1" xr:uid="{00000000-0005-0000-0000-0000D1000000}"/>
    <cellStyle name="Styl 1 2" xfId="247" xr:uid="{00000000-0005-0000-0000-0000D2000000}"/>
    <cellStyle name="Styl 2" xfId="189" xr:uid="{00000000-0005-0000-0000-0000D3000000}"/>
    <cellStyle name="text" xfId="190" xr:uid="{00000000-0005-0000-0000-0000D4000000}"/>
    <cellStyle name="text 2" xfId="191" xr:uid="{00000000-0005-0000-0000-0000D5000000}"/>
    <cellStyle name="text 3" xfId="192" xr:uid="{00000000-0005-0000-0000-0000D6000000}"/>
    <cellStyle name="text 3 2" xfId="193" xr:uid="{00000000-0005-0000-0000-0000D7000000}"/>
    <cellStyle name="text 4" xfId="194" xr:uid="{00000000-0005-0000-0000-0000D8000000}"/>
    <cellStyle name="text 4 2" xfId="195" xr:uid="{00000000-0005-0000-0000-0000D9000000}"/>
    <cellStyle name="Text upozornění 2" xfId="196" xr:uid="{00000000-0005-0000-0000-0000DA000000}"/>
    <cellStyle name="textcentrum" xfId="197" xr:uid="{00000000-0005-0000-0000-0000DB000000}"/>
    <cellStyle name="textcentrum 2" xfId="198" xr:uid="{00000000-0005-0000-0000-0000DC000000}"/>
    <cellStyle name="textcentrum 3" xfId="199" xr:uid="{00000000-0005-0000-0000-0000DD000000}"/>
    <cellStyle name="textcentrum 4" xfId="200" xr:uid="{00000000-0005-0000-0000-0000DE000000}"/>
    <cellStyle name="texttucne" xfId="201" xr:uid="{00000000-0005-0000-0000-0000DF000000}"/>
    <cellStyle name="texttucne 2" xfId="202" xr:uid="{00000000-0005-0000-0000-0000E0000000}"/>
    <cellStyle name="texttucne 3" xfId="203" xr:uid="{00000000-0005-0000-0000-0000E1000000}"/>
    <cellStyle name="Title" xfId="204" xr:uid="{00000000-0005-0000-0000-0000E2000000}"/>
    <cellStyle name="Total" xfId="205" xr:uid="{00000000-0005-0000-0000-0000E3000000}"/>
    <cellStyle name="TucneGrayBack" xfId="206" xr:uid="{00000000-0005-0000-0000-0000E4000000}"/>
    <cellStyle name="TucneGrayBack 2" xfId="207" xr:uid="{00000000-0005-0000-0000-0000E5000000}"/>
    <cellStyle name="TucneGrayBack 3" xfId="208" xr:uid="{00000000-0005-0000-0000-0000E6000000}"/>
    <cellStyle name="TucneGreenBack" xfId="209" xr:uid="{00000000-0005-0000-0000-0000E7000000}"/>
    <cellStyle name="TucneGreenBack 2" xfId="210" xr:uid="{00000000-0005-0000-0000-0000E8000000}"/>
    <cellStyle name="Tučně" xfId="211" xr:uid="{00000000-0005-0000-0000-0000E9000000}"/>
    <cellStyle name="TYP ŘÁDKU_2" xfId="212" xr:uid="{00000000-0005-0000-0000-0000EA000000}"/>
    <cellStyle name="Unit" xfId="213" xr:uid="{00000000-0005-0000-0000-0000EB000000}"/>
    <cellStyle name="Vertical" xfId="214" xr:uid="{00000000-0005-0000-0000-0000EC000000}"/>
    <cellStyle name="Vertical 2" xfId="215" xr:uid="{00000000-0005-0000-0000-0000ED000000}"/>
    <cellStyle name="Vertical 3" xfId="216" xr:uid="{00000000-0005-0000-0000-0000EE000000}"/>
    <cellStyle name="Vstup 2" xfId="217" xr:uid="{00000000-0005-0000-0000-0000EF000000}"/>
    <cellStyle name="Výpočet 2" xfId="218" xr:uid="{00000000-0005-0000-0000-0000F0000000}"/>
    <cellStyle name="Výstup 2" xfId="219" xr:uid="{00000000-0005-0000-0000-0000F1000000}"/>
    <cellStyle name="Vysvětlující text 2" xfId="220" xr:uid="{00000000-0005-0000-0000-0000F2000000}"/>
    <cellStyle name="Währung [0]_Tabelle1" xfId="221" xr:uid="{00000000-0005-0000-0000-0000F3000000}"/>
    <cellStyle name="Währung_Tabelle1" xfId="222" xr:uid="{00000000-0005-0000-0000-0000F4000000}"/>
    <cellStyle name="Warning Text" xfId="223" xr:uid="{00000000-0005-0000-0000-0000F5000000}"/>
    <cellStyle name="základní" xfId="224" xr:uid="{00000000-0005-0000-0000-0000F6000000}"/>
    <cellStyle name="Zvýraznění 1 2" xfId="225" xr:uid="{00000000-0005-0000-0000-0000F7000000}"/>
    <cellStyle name="Zvýraznění 2 2" xfId="226" xr:uid="{00000000-0005-0000-0000-0000F8000000}"/>
    <cellStyle name="Zvýraznění 3 2" xfId="227" xr:uid="{00000000-0005-0000-0000-0000F9000000}"/>
    <cellStyle name="Zvýraznění 4 2" xfId="228" xr:uid="{00000000-0005-0000-0000-0000FA000000}"/>
    <cellStyle name="Zvýraznění 5 2" xfId="229" xr:uid="{00000000-0005-0000-0000-0000FB000000}"/>
    <cellStyle name="Zvýraznění 6 2" xfId="230" xr:uid="{00000000-0005-0000-0000-0000FC000000}"/>
  </cellStyles>
  <dxfs count="4"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57150</xdr:rowOff>
    </xdr:from>
    <xdr:to>
      <xdr:col>1</xdr:col>
      <xdr:colOff>466725</xdr:colOff>
      <xdr:row>2</xdr:row>
      <xdr:rowOff>9525</xdr:rowOff>
    </xdr:to>
    <xdr:pic>
      <xdr:nvPicPr>
        <xdr:cNvPr id="2" name="Picture 1" descr="VCES_logo_CMYK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57150"/>
          <a:ext cx="876300" cy="676275"/>
        </a:xfrm>
        <a:prstGeom prst="rect">
          <a:avLst/>
        </a:prstGeom>
        <a:noFill/>
        <a:ln w="9525" algn="ctr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57150</xdr:rowOff>
    </xdr:from>
    <xdr:to>
      <xdr:col>1</xdr:col>
      <xdr:colOff>466725</xdr:colOff>
      <xdr:row>2</xdr:row>
      <xdr:rowOff>9525</xdr:rowOff>
    </xdr:to>
    <xdr:pic>
      <xdr:nvPicPr>
        <xdr:cNvPr id="2" name="Picture 1" descr="VCES_logo_CMYK">
          <a:extLst>
            <a:ext uri="{FF2B5EF4-FFF2-40B4-BE49-F238E27FC236}">
              <a16:creationId xmlns:a16="http://schemas.microsoft.com/office/drawing/2014/main" id="{D048FFBB-0212-43D0-8105-5D084619AF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57150"/>
          <a:ext cx="876300" cy="676275"/>
        </a:xfrm>
        <a:prstGeom prst="rect">
          <a:avLst/>
        </a:prstGeom>
        <a:noFill/>
        <a:ln w="9525" algn="ctr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57150</xdr:rowOff>
    </xdr:from>
    <xdr:to>
      <xdr:col>1</xdr:col>
      <xdr:colOff>466725</xdr:colOff>
      <xdr:row>2</xdr:row>
      <xdr:rowOff>9525</xdr:rowOff>
    </xdr:to>
    <xdr:pic>
      <xdr:nvPicPr>
        <xdr:cNvPr id="2" name="Picture 1" descr="VCES_logo_CMYK">
          <a:extLst>
            <a:ext uri="{FF2B5EF4-FFF2-40B4-BE49-F238E27FC236}">
              <a16:creationId xmlns:a16="http://schemas.microsoft.com/office/drawing/2014/main" id="{9E756830-5E4E-44C4-B13A-8F62C62F78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57150"/>
          <a:ext cx="876300" cy="676275"/>
        </a:xfrm>
        <a:prstGeom prst="rect">
          <a:avLst/>
        </a:prstGeom>
        <a:noFill/>
        <a:ln w="9525" algn="ctr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6BC7A9-A724-4B10-88FA-CBA33E9AD321}">
  <sheetPr>
    <pageSetUpPr fitToPage="1"/>
  </sheetPr>
  <dimension ref="A2:H32"/>
  <sheetViews>
    <sheetView tabSelected="1" view="pageBreakPreview" zoomScale="60" zoomScaleNormal="100" workbookViewId="0">
      <selection activeCell="D18" sqref="D18"/>
    </sheetView>
  </sheetViews>
  <sheetFormatPr defaultRowHeight="12.75"/>
  <cols>
    <col min="1" max="1" width="11.85546875" style="174" customWidth="1"/>
    <col min="2" max="2" width="48.140625" style="174" customWidth="1"/>
    <col min="3" max="5" width="23.5703125" style="174" customWidth="1"/>
    <col min="6" max="6" width="9.140625" style="174"/>
    <col min="7" max="8" width="23.5703125" style="174" customWidth="1"/>
    <col min="9" max="16384" width="9.140625" style="174"/>
  </cols>
  <sheetData>
    <row r="2" spans="1:8" ht="18">
      <c r="A2" s="193" t="s">
        <v>307</v>
      </c>
      <c r="B2" s="193"/>
      <c r="C2" s="193"/>
      <c r="D2" s="193"/>
      <c r="E2" s="193"/>
    </row>
    <row r="3" spans="1:8" ht="15" customHeight="1">
      <c r="A3" s="140"/>
      <c r="B3" s="140"/>
      <c r="C3" s="140"/>
      <c r="D3" s="140"/>
      <c r="E3" s="140"/>
      <c r="G3" s="140"/>
      <c r="H3" s="140"/>
    </row>
    <row r="4" spans="1:8" ht="15" customHeight="1">
      <c r="A4" s="140"/>
      <c r="B4" s="177" t="s">
        <v>2</v>
      </c>
      <c r="C4" s="178" t="s">
        <v>28</v>
      </c>
      <c r="D4" s="102"/>
      <c r="E4" s="179"/>
      <c r="F4" s="180"/>
      <c r="G4" s="102"/>
      <c r="H4" s="102"/>
    </row>
    <row r="5" spans="1:8" ht="15" customHeight="1">
      <c r="A5" s="140"/>
      <c r="B5" s="177" t="s">
        <v>3</v>
      </c>
      <c r="C5" s="178" t="s">
        <v>29</v>
      </c>
      <c r="D5" s="102"/>
      <c r="E5" s="179"/>
      <c r="F5" s="180"/>
      <c r="G5" s="102"/>
      <c r="H5" s="102"/>
    </row>
    <row r="6" spans="1:8" ht="15" customHeight="1">
      <c r="A6" s="140"/>
      <c r="B6" s="181" t="s">
        <v>4</v>
      </c>
      <c r="C6" s="163" t="s">
        <v>313</v>
      </c>
      <c r="D6" s="102"/>
      <c r="E6" s="179"/>
      <c r="F6" s="180"/>
      <c r="G6" s="102"/>
      <c r="H6" s="102"/>
    </row>
    <row r="7" spans="1:8" ht="15" customHeight="1">
      <c r="A7" s="140"/>
      <c r="B7" s="181" t="s">
        <v>5</v>
      </c>
      <c r="C7" s="182" t="s">
        <v>311</v>
      </c>
      <c r="D7" s="183"/>
      <c r="E7" s="184"/>
      <c r="F7" s="180"/>
      <c r="G7" s="183"/>
      <c r="H7" s="183"/>
    </row>
    <row r="8" spans="1:8" ht="15" customHeight="1">
      <c r="A8" s="140"/>
      <c r="B8" s="177" t="s">
        <v>6</v>
      </c>
      <c r="C8" s="163" t="s">
        <v>312</v>
      </c>
      <c r="D8" s="183"/>
      <c r="E8" s="184"/>
      <c r="F8" s="180"/>
      <c r="G8" s="183"/>
      <c r="H8" s="183"/>
    </row>
    <row r="9" spans="1:8" ht="15" customHeight="1">
      <c r="A9" s="140"/>
      <c r="B9" s="177" t="s">
        <v>7</v>
      </c>
      <c r="C9" s="163" t="s">
        <v>308</v>
      </c>
      <c r="D9" s="183"/>
      <c r="E9" s="184"/>
      <c r="F9" s="180"/>
      <c r="G9" s="183"/>
      <c r="H9" s="183"/>
    </row>
    <row r="10" spans="1:8" ht="9.75" customHeight="1">
      <c r="A10" s="140"/>
      <c r="B10" s="140"/>
      <c r="C10" s="140"/>
      <c r="D10" s="140"/>
      <c r="E10" s="140"/>
      <c r="G10" s="140"/>
      <c r="H10" s="140"/>
    </row>
    <row r="12" spans="1:8" s="175" customFormat="1" ht="21.95" customHeight="1">
      <c r="A12" s="192" t="s">
        <v>96</v>
      </c>
      <c r="B12" s="192" t="s">
        <v>97</v>
      </c>
      <c r="C12" s="192" t="s">
        <v>98</v>
      </c>
      <c r="D12" s="192"/>
      <c r="E12" s="192"/>
      <c r="G12" s="194" t="s">
        <v>335</v>
      </c>
      <c r="H12" s="195"/>
    </row>
    <row r="13" spans="1:8" s="175" customFormat="1" ht="21.95" customHeight="1">
      <c r="A13" s="192"/>
      <c r="B13" s="192"/>
      <c r="C13" s="176" t="s">
        <v>99</v>
      </c>
      <c r="D13" s="176" t="s">
        <v>100</v>
      </c>
      <c r="E13" s="176" t="s">
        <v>11</v>
      </c>
      <c r="G13" s="176" t="s">
        <v>333</v>
      </c>
      <c r="H13" s="176" t="s">
        <v>334</v>
      </c>
    </row>
    <row r="14" spans="1:8" ht="45" customHeight="1">
      <c r="A14" s="173">
        <v>1</v>
      </c>
      <c r="B14" s="158" t="s">
        <v>31</v>
      </c>
      <c r="C14" s="141">
        <f>ZM_1!G92</f>
        <v>1552995.4000000001</v>
      </c>
      <c r="D14" s="142">
        <f>ZM_1!J92</f>
        <v>-1337051.6000000001</v>
      </c>
      <c r="E14" s="143">
        <f>ZM_1!M92</f>
        <v>215943.8</v>
      </c>
      <c r="G14" s="142">
        <f>+ZM_1!J30+ZM_1!J50+ZM_1!J70</f>
        <v>-1326902.7000000002</v>
      </c>
      <c r="H14" s="142">
        <f>+ZM_1!J90</f>
        <v>-10148.899999999998</v>
      </c>
    </row>
    <row r="15" spans="1:8" ht="60" customHeight="1">
      <c r="A15" s="173">
        <v>2</v>
      </c>
      <c r="B15" s="159" t="s">
        <v>315</v>
      </c>
      <c r="C15" s="141">
        <f>ZM_2!G286</f>
        <v>14324482.200000003</v>
      </c>
      <c r="D15" s="142">
        <f>ZM_2!J286</f>
        <v>-75157.199999999983</v>
      </c>
      <c r="E15" s="143">
        <f>ZM_2!M286</f>
        <v>14249324.999999998</v>
      </c>
      <c r="G15" s="142">
        <f>+ZM_2!J59+ZM_2!J103+ZM_2!J284</f>
        <v>-48740.599999999991</v>
      </c>
      <c r="H15" s="142">
        <f>+ZM_2!J147+ZM_2!J191+ZM_2!J235</f>
        <v>-26416.599999999991</v>
      </c>
    </row>
    <row r="16" spans="1:8" ht="45" customHeight="1">
      <c r="A16" s="173">
        <v>3</v>
      </c>
      <c r="B16" s="159" t="s">
        <v>102</v>
      </c>
      <c r="C16" s="141">
        <f>ZM_3!G18</f>
        <v>0</v>
      </c>
      <c r="D16" s="142">
        <f>ZM_3!J18</f>
        <v>196380.1</v>
      </c>
      <c r="E16" s="143">
        <f>+ZM_3!M18</f>
        <v>196380.1</v>
      </c>
      <c r="G16" s="142">
        <v>0</v>
      </c>
      <c r="H16" s="142">
        <f>+ZM_3!J18</f>
        <v>196380.1</v>
      </c>
    </row>
    <row r="17" spans="2:8" ht="21.95" customHeight="1"/>
    <row r="18" spans="2:8" ht="21.95" customHeight="1">
      <c r="B18" s="185" t="s">
        <v>101</v>
      </c>
      <c r="C18" s="186">
        <f>SUM(C14:C16)</f>
        <v>15877477.600000003</v>
      </c>
      <c r="D18" s="187">
        <f>SUM(D14:D16)</f>
        <v>-1215828.7</v>
      </c>
      <c r="E18" s="188">
        <f>SUM(E14:E16)</f>
        <v>14661648.899999999</v>
      </c>
      <c r="G18" s="187">
        <f>SUM(G14:G16)</f>
        <v>-1375643.3000000003</v>
      </c>
      <c r="H18" s="187">
        <f>SUM(H14:H16)</f>
        <v>159814.60000000003</v>
      </c>
    </row>
    <row r="20" spans="2:8" ht="15.75">
      <c r="B20" s="124" t="s">
        <v>21</v>
      </c>
      <c r="E20" s="165" t="s">
        <v>25</v>
      </c>
      <c r="G20" s="189"/>
    </row>
    <row r="21" spans="2:8">
      <c r="E21" s="190"/>
    </row>
    <row r="22" spans="2:8">
      <c r="E22" s="191"/>
    </row>
    <row r="23" spans="2:8">
      <c r="E23" s="190"/>
    </row>
    <row r="24" spans="2:8" ht="15.75">
      <c r="B24" s="125" t="s">
        <v>23</v>
      </c>
      <c r="E24" s="165" t="s">
        <v>25</v>
      </c>
    </row>
    <row r="25" spans="2:8">
      <c r="E25" s="190"/>
    </row>
    <row r="26" spans="2:8">
      <c r="E26" s="190"/>
    </row>
    <row r="27" spans="2:8">
      <c r="E27" s="190"/>
    </row>
    <row r="28" spans="2:8" ht="15.75">
      <c r="B28" s="125" t="s">
        <v>314</v>
      </c>
      <c r="E28" s="165" t="s">
        <v>25</v>
      </c>
    </row>
    <row r="29" spans="2:8">
      <c r="E29" s="190"/>
    </row>
    <row r="30" spans="2:8">
      <c r="E30" s="190"/>
    </row>
    <row r="31" spans="2:8">
      <c r="E31" s="190"/>
    </row>
    <row r="32" spans="2:8" ht="15.75">
      <c r="B32" s="128" t="s">
        <v>24</v>
      </c>
      <c r="E32" s="165" t="s">
        <v>25</v>
      </c>
    </row>
  </sheetData>
  <mergeCells count="5">
    <mergeCell ref="A12:A13"/>
    <mergeCell ref="B12:B13"/>
    <mergeCell ref="C12:E12"/>
    <mergeCell ref="A2:E2"/>
    <mergeCell ref="G12:H12"/>
  </mergeCells>
  <conditionalFormatting sqref="C5">
    <cfRule type="cellIs" dxfId="3" priority="1" stopIfTrue="1" operator="lessThan">
      <formula>0</formula>
    </cfRule>
  </conditionalFormatting>
  <pageMargins left="0.7" right="0.7" top="0.75" bottom="0.75" header="0.3" footer="0.3"/>
  <pageSetup paperSize="9" scale="4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X140"/>
  <sheetViews>
    <sheetView view="pageBreakPreview" zoomScaleNormal="100" zoomScaleSheetLayoutView="100" workbookViewId="0">
      <selection activeCell="M49" sqref="M49"/>
    </sheetView>
  </sheetViews>
  <sheetFormatPr defaultColWidth="9.140625" defaultRowHeight="12"/>
  <cols>
    <col min="1" max="1" width="7.28515625" style="6" customWidth="1"/>
    <col min="2" max="2" width="12" style="6" customWidth="1"/>
    <col min="3" max="3" width="58.140625" style="6" customWidth="1"/>
    <col min="4" max="4" width="6.140625" style="6" customWidth="1"/>
    <col min="5" max="5" width="9.7109375" style="35" customWidth="1"/>
    <col min="6" max="6" width="12.85546875" style="129" customWidth="1"/>
    <col min="7" max="7" width="18.140625" style="37" bestFit="1" customWidth="1"/>
    <col min="8" max="8" width="9.7109375" style="38" customWidth="1"/>
    <col min="9" max="9" width="12.42578125" style="39" customWidth="1"/>
    <col min="10" max="10" width="19.140625" style="31" bestFit="1" customWidth="1"/>
    <col min="11" max="11" width="9" style="32" customWidth="1"/>
    <col min="12" max="12" width="12.85546875" style="32" customWidth="1"/>
    <col min="13" max="13" width="17.7109375" style="33" customWidth="1"/>
    <col min="14" max="16384" width="9.140625" style="6"/>
  </cols>
  <sheetData>
    <row r="1" spans="1:24" ht="39" customHeight="1">
      <c r="A1" s="3"/>
      <c r="B1" s="3"/>
      <c r="C1" s="3"/>
      <c r="D1" s="3"/>
      <c r="E1" s="4"/>
      <c r="F1" s="3"/>
      <c r="G1" s="5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</row>
    <row r="2" spans="1:24" ht="18" customHeight="1">
      <c r="A2" s="7"/>
      <c r="B2" s="1"/>
      <c r="C2" s="2" t="s">
        <v>2</v>
      </c>
      <c r="D2" s="130" t="s">
        <v>28</v>
      </c>
      <c r="E2" s="7"/>
      <c r="F2" s="8"/>
      <c r="G2" s="9"/>
      <c r="H2" s="10"/>
      <c r="I2" s="10"/>
      <c r="J2" s="10"/>
      <c r="K2" s="11"/>
      <c r="L2" s="11"/>
      <c r="M2" s="11"/>
      <c r="N2" s="10"/>
      <c r="O2" s="11"/>
      <c r="P2" s="10"/>
      <c r="Q2" s="11"/>
      <c r="R2" s="10"/>
      <c r="S2" s="11"/>
      <c r="T2" s="10"/>
      <c r="U2" s="12"/>
      <c r="V2" s="13"/>
      <c r="W2" s="14"/>
      <c r="X2" s="15"/>
    </row>
    <row r="3" spans="1:24" ht="18" customHeight="1">
      <c r="A3" s="7"/>
      <c r="B3" s="1"/>
      <c r="C3" s="2" t="s">
        <v>3</v>
      </c>
      <c r="D3" s="130" t="s">
        <v>29</v>
      </c>
      <c r="E3" s="7"/>
      <c r="F3" s="8"/>
      <c r="G3" s="9"/>
      <c r="H3" s="10"/>
      <c r="I3" s="10"/>
      <c r="J3" s="10"/>
      <c r="K3" s="11"/>
      <c r="L3" s="11"/>
      <c r="M3" s="11"/>
      <c r="N3" s="10"/>
      <c r="O3" s="11"/>
      <c r="P3" s="10"/>
      <c r="Q3" s="11"/>
      <c r="R3" s="10"/>
      <c r="S3" s="11"/>
      <c r="T3" s="10"/>
      <c r="U3" s="12"/>
      <c r="V3" s="13"/>
      <c r="W3" s="14"/>
      <c r="X3" s="15"/>
    </row>
    <row r="4" spans="1:24" ht="18" customHeight="1">
      <c r="A4" s="7"/>
      <c r="B4" s="1"/>
      <c r="C4" s="16" t="s">
        <v>4</v>
      </c>
      <c r="D4" s="161" t="str">
        <f>Rekapitulace!C6</f>
        <v xml:space="preserve">VRI/SOD/2020/12/Ži </v>
      </c>
      <c r="E4" s="7"/>
      <c r="F4" s="8"/>
      <c r="G4" s="9"/>
      <c r="H4" s="10"/>
      <c r="I4" s="10"/>
      <c r="J4" s="10"/>
      <c r="K4" s="11"/>
      <c r="L4" s="11"/>
      <c r="M4" s="11"/>
      <c r="N4" s="10"/>
      <c r="O4" s="11"/>
      <c r="P4" s="10"/>
      <c r="Q4" s="11"/>
      <c r="R4" s="10"/>
      <c r="S4" s="11"/>
      <c r="T4" s="10"/>
      <c r="U4" s="12"/>
      <c r="V4" s="13"/>
      <c r="W4" s="14"/>
      <c r="X4" s="15"/>
    </row>
    <row r="5" spans="1:24" ht="18" customHeight="1">
      <c r="A5" s="1"/>
      <c r="B5" s="1"/>
      <c r="C5" s="16" t="s">
        <v>5</v>
      </c>
      <c r="D5" s="161" t="str">
        <f>Rekapitulace!C7</f>
        <v>VCES-6003</v>
      </c>
      <c r="E5" s="1"/>
      <c r="F5" s="17"/>
      <c r="G5" s="9"/>
      <c r="H5" s="18"/>
      <c r="I5" s="18"/>
      <c r="J5" s="18"/>
      <c r="K5" s="19"/>
      <c r="L5" s="19"/>
      <c r="M5" s="19"/>
      <c r="N5" s="18"/>
      <c r="O5" s="19"/>
      <c r="P5" s="18"/>
      <c r="Q5" s="19"/>
      <c r="R5" s="18"/>
      <c r="S5" s="19"/>
      <c r="T5" s="18"/>
      <c r="U5" s="20"/>
      <c r="V5" s="21"/>
      <c r="W5" s="22"/>
      <c r="X5" s="23"/>
    </row>
    <row r="6" spans="1:24" ht="18" customHeight="1">
      <c r="A6" s="1"/>
      <c r="B6" s="1"/>
      <c r="C6" s="2" t="s">
        <v>6</v>
      </c>
      <c r="D6" s="161" t="str">
        <f>Rekapitulace!C8</f>
        <v>Vodovody a kanalizace Mladá Boleslav a.s.</v>
      </c>
      <c r="E6" s="1"/>
      <c r="F6" s="17"/>
      <c r="G6" s="9"/>
      <c r="H6" s="18"/>
      <c r="I6" s="18"/>
      <c r="J6" s="18"/>
      <c r="K6" s="19"/>
      <c r="L6" s="19"/>
      <c r="M6" s="19"/>
      <c r="N6" s="18"/>
      <c r="O6" s="19"/>
      <c r="P6" s="18"/>
      <c r="Q6" s="19"/>
      <c r="R6" s="18"/>
      <c r="S6" s="19"/>
      <c r="T6" s="18"/>
      <c r="U6" s="20"/>
      <c r="V6" s="21"/>
      <c r="W6" s="22"/>
      <c r="X6" s="23"/>
    </row>
    <row r="7" spans="1:24" ht="18" customHeight="1">
      <c r="A7" s="1"/>
      <c r="B7" s="1"/>
      <c r="C7" s="2" t="s">
        <v>7</v>
      </c>
      <c r="D7" s="162" t="str">
        <f>Rekapitulace!C9</f>
        <v>VCES a.s.</v>
      </c>
      <c r="E7" s="1"/>
      <c r="F7" s="17"/>
      <c r="G7" s="9"/>
      <c r="H7" s="18"/>
      <c r="I7" s="18"/>
      <c r="J7" s="18"/>
      <c r="K7" s="19"/>
      <c r="L7" s="19"/>
      <c r="M7" s="19"/>
      <c r="N7" s="18"/>
      <c r="O7" s="19"/>
      <c r="P7" s="18"/>
      <c r="Q7" s="19"/>
      <c r="R7" s="18"/>
      <c r="S7" s="19"/>
      <c r="T7" s="18"/>
      <c r="U7" s="20"/>
      <c r="V7" s="21"/>
      <c r="W7" s="22"/>
      <c r="X7" s="23"/>
    </row>
    <row r="8" spans="1:24" ht="18" customHeight="1">
      <c r="B8" s="24"/>
      <c r="C8" s="25"/>
      <c r="D8" s="26"/>
      <c r="E8" s="27"/>
      <c r="F8" s="27"/>
      <c r="G8" s="28"/>
      <c r="H8" s="29"/>
      <c r="I8" s="30"/>
    </row>
    <row r="9" spans="1:24" ht="18" customHeight="1">
      <c r="B9" s="34" t="s">
        <v>8</v>
      </c>
      <c r="C9" s="35"/>
      <c r="F9" s="36"/>
    </row>
    <row r="10" spans="1:24" ht="18" customHeight="1">
      <c r="B10" s="40"/>
      <c r="C10" s="40"/>
      <c r="D10" s="40"/>
      <c r="E10" s="41"/>
      <c r="F10" s="42"/>
      <c r="G10" s="43"/>
      <c r="H10" s="44"/>
      <c r="I10" s="45"/>
    </row>
    <row r="11" spans="1:24" ht="18" customHeight="1">
      <c r="A11" s="196" t="s">
        <v>30</v>
      </c>
      <c r="B11" s="197"/>
      <c r="C11" s="197"/>
      <c r="D11" s="197"/>
      <c r="E11" s="41"/>
      <c r="F11" s="42"/>
      <c r="G11" s="43"/>
      <c r="H11" s="44"/>
      <c r="I11" s="45"/>
    </row>
    <row r="12" spans="1:24" ht="18" customHeight="1">
      <c r="B12" s="40"/>
      <c r="C12" s="40"/>
      <c r="D12" s="40"/>
      <c r="E12" s="41"/>
      <c r="F12" s="42"/>
      <c r="G12" s="43"/>
      <c r="H12" s="44"/>
      <c r="I12" s="45"/>
    </row>
    <row r="13" spans="1:24" ht="24.95" customHeight="1">
      <c r="A13" s="46" t="s">
        <v>9</v>
      </c>
      <c r="B13" s="47" t="s">
        <v>31</v>
      </c>
      <c r="C13" s="40"/>
      <c r="D13" s="40"/>
      <c r="E13" s="198" t="s">
        <v>1</v>
      </c>
      <c r="F13" s="198"/>
      <c r="G13" s="198"/>
      <c r="H13" s="199" t="s">
        <v>10</v>
      </c>
      <c r="I13" s="199"/>
      <c r="J13" s="199"/>
      <c r="K13" s="200" t="s">
        <v>11</v>
      </c>
      <c r="L13" s="200"/>
      <c r="M13" s="200"/>
    </row>
    <row r="14" spans="1:24" s="59" customFormat="1" ht="24" customHeight="1">
      <c r="A14" s="48" t="s">
        <v>12</v>
      </c>
      <c r="B14" s="49" t="s">
        <v>13</v>
      </c>
      <c r="C14" s="48" t="s">
        <v>13</v>
      </c>
      <c r="D14" s="49" t="s">
        <v>14</v>
      </c>
      <c r="E14" s="50" t="s">
        <v>15</v>
      </c>
      <c r="F14" s="51" t="s">
        <v>16</v>
      </c>
      <c r="G14" s="52" t="s">
        <v>17</v>
      </c>
      <c r="H14" s="53" t="s">
        <v>15</v>
      </c>
      <c r="I14" s="54" t="s">
        <v>18</v>
      </c>
      <c r="J14" s="55" t="s">
        <v>17</v>
      </c>
      <c r="K14" s="56" t="s">
        <v>15</v>
      </c>
      <c r="L14" s="57" t="s">
        <v>18</v>
      </c>
      <c r="M14" s="58" t="s">
        <v>19</v>
      </c>
    </row>
    <row r="15" spans="1:24" s="59" customFormat="1" ht="24" customHeight="1">
      <c r="A15" s="60" t="s">
        <v>32</v>
      </c>
      <c r="B15" s="61" t="s">
        <v>33</v>
      </c>
      <c r="C15" s="62"/>
      <c r="D15" s="62"/>
      <c r="E15" s="62"/>
      <c r="F15" s="63"/>
      <c r="G15" s="64"/>
      <c r="H15" s="65"/>
      <c r="I15" s="65"/>
      <c r="J15" s="65"/>
      <c r="K15" s="64"/>
      <c r="L15" s="64"/>
      <c r="M15" s="64"/>
    </row>
    <row r="16" spans="1:24" s="79" customFormat="1" ht="24">
      <c r="A16" s="66" t="s">
        <v>34</v>
      </c>
      <c r="B16" s="67" t="s">
        <v>309</v>
      </c>
      <c r="C16" s="68" t="s">
        <v>35</v>
      </c>
      <c r="D16" s="69" t="s">
        <v>36</v>
      </c>
      <c r="E16" s="70">
        <v>968</v>
      </c>
      <c r="F16" s="71">
        <v>55.24</v>
      </c>
      <c r="G16" s="72">
        <f>ROUND(ROUND(F16,1)*ROUND(E16,1),1)</f>
        <v>53433.599999999999</v>
      </c>
      <c r="H16" s="73">
        <v>-968</v>
      </c>
      <c r="I16" s="74">
        <f>F16</f>
        <v>55.24</v>
      </c>
      <c r="J16" s="75">
        <f>+M16-G16</f>
        <v>-53433.599999999999</v>
      </c>
      <c r="K16" s="76">
        <f>E16+H16</f>
        <v>0</v>
      </c>
      <c r="L16" s="77">
        <f t="shared" ref="L16" si="0">+I16</f>
        <v>55.24</v>
      </c>
      <c r="M16" s="78">
        <f t="shared" ref="M16" si="1">ROUND(ROUND(L16,1)*ROUND(K16,1),1)</f>
        <v>0</v>
      </c>
    </row>
    <row r="17" spans="1:13" s="79" customFormat="1">
      <c r="A17" s="66"/>
      <c r="B17" s="67"/>
      <c r="C17" s="68"/>
      <c r="D17" s="69"/>
      <c r="E17" s="70"/>
      <c r="F17" s="71"/>
      <c r="G17" s="72"/>
      <c r="H17" s="73"/>
      <c r="I17" s="74"/>
      <c r="J17" s="75"/>
      <c r="K17" s="76"/>
      <c r="L17" s="77"/>
      <c r="M17" s="78"/>
    </row>
    <row r="18" spans="1:13" s="59" customFormat="1" ht="24" customHeight="1">
      <c r="A18" s="60" t="s">
        <v>37</v>
      </c>
      <c r="B18" s="61" t="s">
        <v>38</v>
      </c>
      <c r="C18" s="62"/>
      <c r="D18" s="62"/>
      <c r="E18" s="62"/>
      <c r="F18" s="63"/>
      <c r="G18" s="64"/>
      <c r="H18" s="65"/>
      <c r="I18" s="65"/>
      <c r="J18" s="65"/>
      <c r="K18" s="64"/>
      <c r="L18" s="64"/>
      <c r="M18" s="64"/>
    </row>
    <row r="19" spans="1:13" s="79" customFormat="1" ht="18" customHeight="1">
      <c r="A19" s="66" t="s">
        <v>39</v>
      </c>
      <c r="B19" s="67" t="s">
        <v>40</v>
      </c>
      <c r="C19" s="68" t="s">
        <v>41</v>
      </c>
      <c r="D19" s="69" t="s">
        <v>36</v>
      </c>
      <c r="E19" s="70">
        <v>1594.3</v>
      </c>
      <c r="F19" s="71">
        <v>23.2</v>
      </c>
      <c r="G19" s="72">
        <f t="shared" ref="G19:G21" si="2">ROUND(ROUND(F19,1)*ROUND(E19,1),1)</f>
        <v>36987.800000000003</v>
      </c>
      <c r="H19" s="73">
        <v>-1594.3</v>
      </c>
      <c r="I19" s="74">
        <f t="shared" ref="I19:I29" si="3">F19</f>
        <v>23.2</v>
      </c>
      <c r="J19" s="75">
        <f>+M19-G19</f>
        <v>-36987.800000000003</v>
      </c>
      <c r="K19" s="76">
        <f>E19+H19</f>
        <v>0</v>
      </c>
      <c r="L19" s="77">
        <f t="shared" ref="L19:L21" si="4">+I19</f>
        <v>23.2</v>
      </c>
      <c r="M19" s="78">
        <f t="shared" ref="M19:M21" si="5">ROUND(ROUND(L19,1)*ROUND(K19,1),1)</f>
        <v>0</v>
      </c>
    </row>
    <row r="20" spans="1:13" s="79" customFormat="1" ht="21.95" customHeight="1">
      <c r="A20" s="66" t="s">
        <v>42</v>
      </c>
      <c r="B20" s="67" t="s">
        <v>310</v>
      </c>
      <c r="C20" s="139" t="s">
        <v>43</v>
      </c>
      <c r="D20" s="69" t="s">
        <v>36</v>
      </c>
      <c r="E20" s="70">
        <v>968</v>
      </c>
      <c r="F20" s="71">
        <v>338.17</v>
      </c>
      <c r="G20" s="72">
        <f t="shared" si="2"/>
        <v>327377.59999999998</v>
      </c>
      <c r="H20" s="73">
        <v>-968</v>
      </c>
      <c r="I20" s="74">
        <f t="shared" si="3"/>
        <v>338.17</v>
      </c>
      <c r="J20" s="75">
        <f>+M20-G20</f>
        <v>-327377.59999999998</v>
      </c>
      <c r="K20" s="76">
        <f>E20+H20</f>
        <v>0</v>
      </c>
      <c r="L20" s="77">
        <f t="shared" si="4"/>
        <v>338.17</v>
      </c>
      <c r="M20" s="78">
        <f t="shared" si="5"/>
        <v>0</v>
      </c>
    </row>
    <row r="21" spans="1:13" s="79" customFormat="1" ht="21.95" customHeight="1">
      <c r="A21" s="66" t="s">
        <v>44</v>
      </c>
      <c r="B21" s="67" t="s">
        <v>45</v>
      </c>
      <c r="C21" s="139" t="s">
        <v>46</v>
      </c>
      <c r="D21" s="69" t="s">
        <v>36</v>
      </c>
      <c r="E21" s="70">
        <v>1252.7</v>
      </c>
      <c r="F21" s="71">
        <v>431.47</v>
      </c>
      <c r="G21" s="72">
        <f t="shared" si="2"/>
        <v>540540.1</v>
      </c>
      <c r="H21" s="73">
        <v>-1252.7</v>
      </c>
      <c r="I21" s="74">
        <f t="shared" si="3"/>
        <v>431.47</v>
      </c>
      <c r="J21" s="75">
        <f>+M21-G21</f>
        <v>-540540.1</v>
      </c>
      <c r="K21" s="76">
        <f>E21+H21</f>
        <v>0</v>
      </c>
      <c r="L21" s="77">
        <f t="shared" si="4"/>
        <v>431.47</v>
      </c>
      <c r="M21" s="78">
        <f t="shared" si="5"/>
        <v>0</v>
      </c>
    </row>
    <row r="22" spans="1:13" s="79" customFormat="1" ht="18" customHeight="1">
      <c r="A22" s="131"/>
      <c r="B22" s="131"/>
      <c r="C22" s="132"/>
      <c r="D22" s="133"/>
      <c r="E22" s="70"/>
      <c r="F22" s="71"/>
      <c r="G22" s="72"/>
      <c r="H22" s="73"/>
      <c r="I22" s="74"/>
      <c r="J22" s="75"/>
      <c r="K22" s="76"/>
      <c r="L22" s="77"/>
      <c r="M22" s="78"/>
    </row>
    <row r="23" spans="1:13" s="79" customFormat="1" ht="18" customHeight="1">
      <c r="A23" s="60" t="s">
        <v>0</v>
      </c>
      <c r="B23" s="61" t="s">
        <v>47</v>
      </c>
      <c r="C23" s="62"/>
      <c r="D23" s="62"/>
      <c r="E23" s="62"/>
      <c r="F23" s="63"/>
      <c r="G23" s="64"/>
      <c r="H23" s="65"/>
      <c r="I23" s="65"/>
      <c r="J23" s="65"/>
      <c r="K23" s="64"/>
      <c r="L23" s="64"/>
      <c r="M23" s="64"/>
    </row>
    <row r="24" spans="1:13" s="79" customFormat="1" ht="18" customHeight="1">
      <c r="A24" s="66" t="s">
        <v>48</v>
      </c>
      <c r="B24" s="67" t="s">
        <v>49</v>
      </c>
      <c r="C24" s="68" t="s">
        <v>50</v>
      </c>
      <c r="D24" s="69" t="s">
        <v>51</v>
      </c>
      <c r="E24" s="70">
        <v>1017.4</v>
      </c>
      <c r="F24" s="71">
        <v>72.34</v>
      </c>
      <c r="G24" s="72">
        <f t="shared" ref="G24:G29" si="6">ROUND(ROUND(F24,1)*ROUND(E24,1),1)</f>
        <v>73558</v>
      </c>
      <c r="H24" s="73">
        <v>-1017.4</v>
      </c>
      <c r="I24" s="74">
        <f t="shared" si="3"/>
        <v>72.34</v>
      </c>
      <c r="J24" s="75">
        <f t="shared" ref="J24:J29" si="7">+M24-G24</f>
        <v>-73558</v>
      </c>
      <c r="K24" s="76">
        <f t="shared" ref="K24:K29" si="8">E24+H24</f>
        <v>0</v>
      </c>
      <c r="L24" s="77">
        <f t="shared" ref="L24:L29" si="9">+I24</f>
        <v>72.34</v>
      </c>
      <c r="M24" s="78">
        <f t="shared" ref="M24:M29" si="10">ROUND(ROUND(L24,1)*ROUND(K24,1),1)</f>
        <v>0</v>
      </c>
    </row>
    <row r="25" spans="1:13" s="79" customFormat="1" ht="18" customHeight="1">
      <c r="A25" s="66" t="s">
        <v>52</v>
      </c>
      <c r="B25" s="67" t="s">
        <v>53</v>
      </c>
      <c r="C25" s="68" t="s">
        <v>54</v>
      </c>
      <c r="D25" s="69" t="s">
        <v>51</v>
      </c>
      <c r="E25" s="70">
        <v>1017.4</v>
      </c>
      <c r="F25" s="71">
        <v>87.65</v>
      </c>
      <c r="G25" s="72">
        <f t="shared" si="6"/>
        <v>89226</v>
      </c>
      <c r="H25" s="73">
        <v>-1017.4</v>
      </c>
      <c r="I25" s="74">
        <f t="shared" si="3"/>
        <v>87.65</v>
      </c>
      <c r="J25" s="75">
        <f t="shared" si="7"/>
        <v>-89226</v>
      </c>
      <c r="K25" s="76">
        <f t="shared" si="8"/>
        <v>0</v>
      </c>
      <c r="L25" s="77">
        <f t="shared" si="9"/>
        <v>87.65</v>
      </c>
      <c r="M25" s="78">
        <f t="shared" si="10"/>
        <v>0</v>
      </c>
    </row>
    <row r="26" spans="1:13" s="79" customFormat="1" ht="18" customHeight="1">
      <c r="A26" s="66" t="s">
        <v>55</v>
      </c>
      <c r="B26" s="67" t="s">
        <v>56</v>
      </c>
      <c r="C26" s="68" t="s">
        <v>57</v>
      </c>
      <c r="D26" s="69" t="s">
        <v>58</v>
      </c>
      <c r="E26" s="70">
        <v>551.29999999999995</v>
      </c>
      <c r="F26" s="71">
        <v>51.29</v>
      </c>
      <c r="G26" s="72">
        <f t="shared" si="6"/>
        <v>28281.7</v>
      </c>
      <c r="H26" s="73">
        <v>-99.55</v>
      </c>
      <c r="I26" s="74">
        <f t="shared" si="3"/>
        <v>51.29</v>
      </c>
      <c r="J26" s="75">
        <f t="shared" si="7"/>
        <v>-5104.4000000000015</v>
      </c>
      <c r="K26" s="76">
        <f t="shared" si="8"/>
        <v>451.74999999999994</v>
      </c>
      <c r="L26" s="77">
        <f t="shared" si="9"/>
        <v>51.29</v>
      </c>
      <c r="M26" s="78">
        <f t="shared" si="10"/>
        <v>23177.3</v>
      </c>
    </row>
    <row r="27" spans="1:13" s="79" customFormat="1" ht="21.95" customHeight="1">
      <c r="A27" s="66" t="s">
        <v>59</v>
      </c>
      <c r="B27" s="67" t="s">
        <v>60</v>
      </c>
      <c r="C27" s="139" t="s">
        <v>61</v>
      </c>
      <c r="D27" s="69" t="s">
        <v>58</v>
      </c>
      <c r="E27" s="70">
        <v>237.5</v>
      </c>
      <c r="F27" s="71">
        <v>257.77999999999997</v>
      </c>
      <c r="G27" s="72">
        <f t="shared" si="6"/>
        <v>61227.5</v>
      </c>
      <c r="H27" s="73">
        <v>-99.5</v>
      </c>
      <c r="I27" s="74">
        <f t="shared" si="3"/>
        <v>257.77999999999997</v>
      </c>
      <c r="J27" s="75">
        <f t="shared" si="7"/>
        <v>-25651.1</v>
      </c>
      <c r="K27" s="76">
        <f t="shared" si="8"/>
        <v>138</v>
      </c>
      <c r="L27" s="77">
        <f t="shared" si="9"/>
        <v>257.77999999999997</v>
      </c>
      <c r="M27" s="78">
        <f t="shared" si="10"/>
        <v>35576.400000000001</v>
      </c>
    </row>
    <row r="28" spans="1:13" s="79" customFormat="1" ht="18" customHeight="1">
      <c r="A28" s="66" t="s">
        <v>62</v>
      </c>
      <c r="B28" s="67" t="s">
        <v>63</v>
      </c>
      <c r="C28" s="68" t="s">
        <v>64</v>
      </c>
      <c r="D28" s="69" t="s">
        <v>58</v>
      </c>
      <c r="E28" s="70">
        <v>551.27599999999995</v>
      </c>
      <c r="F28" s="71">
        <v>40.770000000000003</v>
      </c>
      <c r="G28" s="72">
        <f t="shared" si="6"/>
        <v>22493</v>
      </c>
      <c r="H28" s="73">
        <v>-99.5</v>
      </c>
      <c r="I28" s="74">
        <f t="shared" si="3"/>
        <v>40.770000000000003</v>
      </c>
      <c r="J28" s="75">
        <f t="shared" si="7"/>
        <v>-4059.5999999999985</v>
      </c>
      <c r="K28" s="76">
        <f t="shared" si="8"/>
        <v>451.77599999999995</v>
      </c>
      <c r="L28" s="77">
        <f t="shared" si="9"/>
        <v>40.770000000000003</v>
      </c>
      <c r="M28" s="78">
        <f>ROUND(ROUND(L28,1)*ROUND(K28,1),1)</f>
        <v>18433.400000000001</v>
      </c>
    </row>
    <row r="29" spans="1:13" s="79" customFormat="1" ht="18" customHeight="1">
      <c r="A29" s="66" t="s">
        <v>65</v>
      </c>
      <c r="B29" s="67" t="s">
        <v>66</v>
      </c>
      <c r="C29" s="68" t="s">
        <v>64</v>
      </c>
      <c r="D29" s="69" t="s">
        <v>58</v>
      </c>
      <c r="E29" s="70">
        <v>551.29999999999995</v>
      </c>
      <c r="F29" s="71">
        <v>164.09</v>
      </c>
      <c r="G29" s="72">
        <f t="shared" si="6"/>
        <v>90468.3</v>
      </c>
      <c r="H29" s="73">
        <v>-99.5</v>
      </c>
      <c r="I29" s="74">
        <f t="shared" si="3"/>
        <v>164.09</v>
      </c>
      <c r="J29" s="75">
        <f t="shared" si="7"/>
        <v>-16327.900000000009</v>
      </c>
      <c r="K29" s="76">
        <f t="shared" si="8"/>
        <v>451.79999999999995</v>
      </c>
      <c r="L29" s="77">
        <f t="shared" si="9"/>
        <v>164.09</v>
      </c>
      <c r="M29" s="78">
        <f t="shared" si="10"/>
        <v>74140.399999999994</v>
      </c>
    </row>
    <row r="30" spans="1:13" s="89" customFormat="1" ht="18" customHeight="1">
      <c r="A30" s="80"/>
      <c r="B30" s="80"/>
      <c r="C30" s="80"/>
      <c r="D30" s="80"/>
      <c r="E30" s="81"/>
      <c r="F30" s="80"/>
      <c r="G30" s="82">
        <f>SUM(G16:G29)</f>
        <v>1323593.6000000001</v>
      </c>
      <c r="H30" s="83"/>
      <c r="I30" s="84"/>
      <c r="J30" s="85">
        <f>SUBTOTAL(9,J15:J29)</f>
        <v>-1172266.1000000001</v>
      </c>
      <c r="K30" s="86"/>
      <c r="L30" s="87"/>
      <c r="M30" s="88">
        <f>SUM(M16:M29)</f>
        <v>151327.5</v>
      </c>
    </row>
    <row r="31" spans="1:13" s="89" customFormat="1" ht="18" customHeight="1">
      <c r="A31" s="196" t="s">
        <v>67</v>
      </c>
      <c r="B31" s="197"/>
      <c r="C31" s="197"/>
      <c r="D31" s="197"/>
      <c r="E31" s="81"/>
      <c r="F31" s="80"/>
      <c r="G31" s="82"/>
      <c r="H31" s="83"/>
      <c r="I31" s="84"/>
      <c r="J31" s="85"/>
      <c r="K31" s="86"/>
      <c r="L31" s="87"/>
      <c r="M31" s="88"/>
    </row>
    <row r="32" spans="1:13" s="89" customFormat="1" ht="18" customHeight="1">
      <c r="A32" s="80"/>
      <c r="B32" s="80"/>
      <c r="C32" s="80"/>
      <c r="D32" s="80"/>
      <c r="E32" s="81"/>
      <c r="F32" s="80"/>
      <c r="G32" s="82"/>
      <c r="H32" s="83"/>
      <c r="I32" s="84"/>
      <c r="J32" s="85"/>
      <c r="K32" s="86"/>
      <c r="L32" s="87"/>
      <c r="M32" s="88"/>
    </row>
    <row r="33" spans="1:13" s="89" customFormat="1" ht="18" customHeight="1">
      <c r="A33" s="46" t="s">
        <v>77</v>
      </c>
      <c r="B33" s="47" t="s">
        <v>31</v>
      </c>
      <c r="C33" s="40"/>
      <c r="D33" s="40"/>
      <c r="E33" s="198" t="s">
        <v>1</v>
      </c>
      <c r="F33" s="198"/>
      <c r="G33" s="198"/>
      <c r="H33" s="199" t="s">
        <v>10</v>
      </c>
      <c r="I33" s="199"/>
      <c r="J33" s="199"/>
      <c r="K33" s="200" t="s">
        <v>11</v>
      </c>
      <c r="L33" s="200"/>
      <c r="M33" s="200"/>
    </row>
    <row r="34" spans="1:13" s="89" customFormat="1" ht="24" customHeight="1">
      <c r="A34" s="48" t="s">
        <v>12</v>
      </c>
      <c r="B34" s="134" t="s">
        <v>13</v>
      </c>
      <c r="C34" s="48" t="s">
        <v>13</v>
      </c>
      <c r="D34" s="134" t="s">
        <v>14</v>
      </c>
      <c r="E34" s="135" t="s">
        <v>15</v>
      </c>
      <c r="F34" s="136" t="s">
        <v>16</v>
      </c>
      <c r="G34" s="52" t="s">
        <v>17</v>
      </c>
      <c r="H34" s="53" t="s">
        <v>15</v>
      </c>
      <c r="I34" s="54" t="s">
        <v>18</v>
      </c>
      <c r="J34" s="55" t="s">
        <v>17</v>
      </c>
      <c r="K34" s="56" t="s">
        <v>15</v>
      </c>
      <c r="L34" s="57" t="s">
        <v>18</v>
      </c>
      <c r="M34" s="58" t="s">
        <v>19</v>
      </c>
    </row>
    <row r="35" spans="1:13" s="89" customFormat="1" ht="18" customHeight="1">
      <c r="A35" s="60" t="s">
        <v>32</v>
      </c>
      <c r="B35" s="61" t="s">
        <v>33</v>
      </c>
      <c r="C35" s="62"/>
      <c r="D35" s="62"/>
      <c r="E35" s="62"/>
      <c r="F35" s="63"/>
      <c r="G35" s="64"/>
      <c r="H35" s="65"/>
      <c r="I35" s="65"/>
      <c r="J35" s="65"/>
      <c r="K35" s="64"/>
      <c r="L35" s="64"/>
      <c r="M35" s="64"/>
    </row>
    <row r="36" spans="1:13" s="89" customFormat="1" ht="21.95" customHeight="1">
      <c r="A36" s="66" t="s">
        <v>37</v>
      </c>
      <c r="B36" s="67" t="s">
        <v>309</v>
      </c>
      <c r="C36" s="68" t="s">
        <v>35</v>
      </c>
      <c r="D36" s="69" t="s">
        <v>36</v>
      </c>
      <c r="E36" s="70">
        <v>13.2</v>
      </c>
      <c r="F36" s="71">
        <v>55.24</v>
      </c>
      <c r="G36" s="72">
        <f>ROUND(ROUND(F36,1)*ROUND(E36,1),1)</f>
        <v>728.6</v>
      </c>
      <c r="H36" s="73">
        <v>-13.2</v>
      </c>
      <c r="I36" s="74">
        <f>F36</f>
        <v>55.24</v>
      </c>
      <c r="J36" s="75">
        <f t="shared" ref="J36" si="11">+M36-G36</f>
        <v>-728.6</v>
      </c>
      <c r="K36" s="76">
        <f>E36+H36</f>
        <v>0</v>
      </c>
      <c r="L36" s="77">
        <f t="shared" ref="L36" si="12">+I36</f>
        <v>55.24</v>
      </c>
      <c r="M36" s="78">
        <f t="shared" ref="M36" si="13">ROUND(ROUND(L36,1)*ROUND(K36,1),1)</f>
        <v>0</v>
      </c>
    </row>
    <row r="37" spans="1:13" s="89" customFormat="1" ht="18" customHeight="1">
      <c r="A37" s="66"/>
      <c r="B37" s="67"/>
      <c r="C37" s="68"/>
      <c r="D37" s="69"/>
      <c r="E37" s="70"/>
      <c r="F37" s="71"/>
      <c r="G37" s="72"/>
      <c r="H37" s="73"/>
      <c r="I37" s="74"/>
      <c r="J37" s="75"/>
      <c r="K37" s="76"/>
      <c r="L37" s="77"/>
      <c r="M37" s="78"/>
    </row>
    <row r="38" spans="1:13" s="89" customFormat="1" ht="18" customHeight="1">
      <c r="A38" s="60" t="s">
        <v>37</v>
      </c>
      <c r="B38" s="61" t="s">
        <v>38</v>
      </c>
      <c r="C38" s="62"/>
      <c r="D38" s="62"/>
      <c r="E38" s="62"/>
      <c r="F38" s="63"/>
      <c r="G38" s="64"/>
      <c r="H38" s="65"/>
      <c r="I38" s="65"/>
      <c r="J38" s="65"/>
      <c r="K38" s="64"/>
      <c r="L38" s="64"/>
      <c r="M38" s="64"/>
    </row>
    <row r="39" spans="1:13" s="89" customFormat="1" ht="18" customHeight="1">
      <c r="A39" s="66" t="s">
        <v>68</v>
      </c>
      <c r="B39" s="67" t="s">
        <v>40</v>
      </c>
      <c r="C39" s="68" t="s">
        <v>41</v>
      </c>
      <c r="D39" s="69" t="s">
        <v>36</v>
      </c>
      <c r="E39" s="70">
        <v>21.7</v>
      </c>
      <c r="F39" s="71">
        <v>23.2</v>
      </c>
      <c r="G39" s="72">
        <f t="shared" ref="G39:G41" si="14">ROUND(ROUND(F39,1)*ROUND(E39,1),1)</f>
        <v>503.4</v>
      </c>
      <c r="H39" s="73">
        <v>-21.7</v>
      </c>
      <c r="I39" s="74">
        <f t="shared" ref="I39:I48" si="15">F39</f>
        <v>23.2</v>
      </c>
      <c r="J39" s="75">
        <f t="shared" ref="J39:J41" si="16">+M39-G39</f>
        <v>-503.4</v>
      </c>
      <c r="K39" s="76">
        <f t="shared" ref="K39:K41" si="17">E39+H39</f>
        <v>0</v>
      </c>
      <c r="L39" s="77">
        <f t="shared" ref="L39:L41" si="18">+I39</f>
        <v>23.2</v>
      </c>
      <c r="M39" s="78">
        <f t="shared" ref="M39:M41" si="19">ROUND(ROUND(L39,1)*ROUND(K39,1),1)</f>
        <v>0</v>
      </c>
    </row>
    <row r="40" spans="1:13" s="89" customFormat="1" ht="21.95" customHeight="1">
      <c r="A40" s="66" t="s">
        <v>69</v>
      </c>
      <c r="B40" s="67" t="s">
        <v>310</v>
      </c>
      <c r="C40" s="139" t="s">
        <v>43</v>
      </c>
      <c r="D40" s="69" t="s">
        <v>36</v>
      </c>
      <c r="E40" s="70">
        <v>13.2</v>
      </c>
      <c r="F40" s="71">
        <v>338.17</v>
      </c>
      <c r="G40" s="72">
        <f t="shared" si="14"/>
        <v>4464.2</v>
      </c>
      <c r="H40" s="73">
        <v>-13.2</v>
      </c>
      <c r="I40" s="74">
        <f t="shared" si="15"/>
        <v>338.17</v>
      </c>
      <c r="J40" s="75">
        <f t="shared" si="16"/>
        <v>-4464.2</v>
      </c>
      <c r="K40" s="76">
        <f t="shared" si="17"/>
        <v>0</v>
      </c>
      <c r="L40" s="77">
        <f t="shared" si="18"/>
        <v>338.17</v>
      </c>
      <c r="M40" s="78">
        <f t="shared" si="19"/>
        <v>0</v>
      </c>
    </row>
    <row r="41" spans="1:13" s="89" customFormat="1" ht="21.95" customHeight="1">
      <c r="A41" s="66" t="s">
        <v>70</v>
      </c>
      <c r="B41" s="67" t="s">
        <v>45</v>
      </c>
      <c r="C41" s="139" t="s">
        <v>46</v>
      </c>
      <c r="D41" s="69" t="s">
        <v>36</v>
      </c>
      <c r="E41" s="70">
        <v>17</v>
      </c>
      <c r="F41" s="71">
        <v>431.47</v>
      </c>
      <c r="G41" s="72">
        <f t="shared" si="14"/>
        <v>7335.5</v>
      </c>
      <c r="H41" s="73">
        <v>-17</v>
      </c>
      <c r="I41" s="74">
        <f t="shared" si="15"/>
        <v>431.47</v>
      </c>
      <c r="J41" s="75">
        <f t="shared" si="16"/>
        <v>-7335.5</v>
      </c>
      <c r="K41" s="76">
        <f t="shared" si="17"/>
        <v>0</v>
      </c>
      <c r="L41" s="77">
        <f t="shared" si="18"/>
        <v>431.47</v>
      </c>
      <c r="M41" s="78">
        <f t="shared" si="19"/>
        <v>0</v>
      </c>
    </row>
    <row r="42" spans="1:13" s="89" customFormat="1" ht="18" customHeight="1">
      <c r="A42" s="131"/>
      <c r="B42" s="131"/>
      <c r="C42" s="132"/>
      <c r="D42" s="133"/>
      <c r="E42" s="70"/>
      <c r="F42" s="71"/>
      <c r="G42" s="72"/>
      <c r="H42" s="73"/>
      <c r="I42" s="74"/>
      <c r="J42" s="75"/>
      <c r="K42" s="76"/>
      <c r="L42" s="77"/>
      <c r="M42" s="78"/>
    </row>
    <row r="43" spans="1:13" s="89" customFormat="1" ht="18" customHeight="1">
      <c r="A43" s="60" t="s">
        <v>0</v>
      </c>
      <c r="B43" s="61" t="s">
        <v>47</v>
      </c>
      <c r="C43" s="62"/>
      <c r="D43" s="62"/>
      <c r="E43" s="62"/>
      <c r="F43" s="63"/>
      <c r="G43" s="64"/>
      <c r="H43" s="65"/>
      <c r="I43" s="65"/>
      <c r="J43" s="65"/>
      <c r="K43" s="64"/>
      <c r="L43" s="64"/>
      <c r="M43" s="64"/>
    </row>
    <row r="44" spans="1:13" s="89" customFormat="1" ht="18" customHeight="1">
      <c r="A44" s="66" t="s">
        <v>71</v>
      </c>
      <c r="B44" s="67" t="s">
        <v>49</v>
      </c>
      <c r="C44" s="68" t="s">
        <v>50</v>
      </c>
      <c r="D44" s="69" t="s">
        <v>51</v>
      </c>
      <c r="E44" s="70">
        <v>13.6</v>
      </c>
      <c r="F44" s="71">
        <v>72.34</v>
      </c>
      <c r="G44" s="72">
        <f t="shared" ref="G44:G49" si="20">ROUND(ROUND(F44,1)*ROUND(E44,1),1)</f>
        <v>983.3</v>
      </c>
      <c r="H44" s="73">
        <v>-13.6</v>
      </c>
      <c r="I44" s="74">
        <f t="shared" si="15"/>
        <v>72.34</v>
      </c>
      <c r="J44" s="75">
        <f t="shared" ref="J44:J49" si="21">+M44-G44</f>
        <v>-983.3</v>
      </c>
      <c r="K44" s="76">
        <f t="shared" ref="K44:K49" si="22">E44+H44</f>
        <v>0</v>
      </c>
      <c r="L44" s="77">
        <f t="shared" ref="L44:L49" si="23">+I44</f>
        <v>72.34</v>
      </c>
      <c r="M44" s="78">
        <f t="shared" ref="M44:M48" si="24">ROUND(ROUND(L44,1)*ROUND(K44,1),1)</f>
        <v>0</v>
      </c>
    </row>
    <row r="45" spans="1:13" s="89" customFormat="1" ht="18" customHeight="1">
      <c r="A45" s="66" t="s">
        <v>72</v>
      </c>
      <c r="B45" s="67" t="s">
        <v>53</v>
      </c>
      <c r="C45" s="68" t="s">
        <v>54</v>
      </c>
      <c r="D45" s="69" t="s">
        <v>51</v>
      </c>
      <c r="E45" s="70">
        <v>13.6</v>
      </c>
      <c r="F45" s="71">
        <v>87.65</v>
      </c>
      <c r="G45" s="72">
        <f t="shared" si="20"/>
        <v>1192.7</v>
      </c>
      <c r="H45" s="73">
        <v>-13.6</v>
      </c>
      <c r="I45" s="74">
        <f t="shared" si="15"/>
        <v>87.65</v>
      </c>
      <c r="J45" s="75">
        <f t="shared" si="21"/>
        <v>-1192.7</v>
      </c>
      <c r="K45" s="76">
        <f t="shared" si="22"/>
        <v>0</v>
      </c>
      <c r="L45" s="77">
        <f t="shared" si="23"/>
        <v>87.65</v>
      </c>
      <c r="M45" s="78">
        <f t="shared" si="24"/>
        <v>0</v>
      </c>
    </row>
    <row r="46" spans="1:13" s="89" customFormat="1" ht="18" customHeight="1">
      <c r="A46" s="66" t="s">
        <v>73</v>
      </c>
      <c r="B46" s="67" t="s">
        <v>56</v>
      </c>
      <c r="C46" s="68" t="s">
        <v>57</v>
      </c>
      <c r="D46" s="69" t="s">
        <v>58</v>
      </c>
      <c r="E46" s="70">
        <v>129.4</v>
      </c>
      <c r="F46" s="71">
        <v>51.29</v>
      </c>
      <c r="G46" s="72">
        <f t="shared" si="20"/>
        <v>6638.2</v>
      </c>
      <c r="H46" s="73">
        <v>-1.6</v>
      </c>
      <c r="I46" s="74">
        <f t="shared" si="15"/>
        <v>51.29</v>
      </c>
      <c r="J46" s="75">
        <f t="shared" si="21"/>
        <v>-82.099999999999454</v>
      </c>
      <c r="K46" s="76">
        <f t="shared" si="22"/>
        <v>127.80000000000001</v>
      </c>
      <c r="L46" s="77">
        <f t="shared" si="23"/>
        <v>51.29</v>
      </c>
      <c r="M46" s="78">
        <f t="shared" si="24"/>
        <v>6556.1</v>
      </c>
    </row>
    <row r="47" spans="1:13" s="89" customFormat="1" ht="21.95" customHeight="1">
      <c r="A47" s="66" t="s">
        <v>74</v>
      </c>
      <c r="B47" s="67" t="s">
        <v>60</v>
      </c>
      <c r="C47" s="139" t="s">
        <v>61</v>
      </c>
      <c r="D47" s="69" t="s">
        <v>58</v>
      </c>
      <c r="E47" s="70">
        <v>3.2</v>
      </c>
      <c r="F47" s="71">
        <v>257.77999999999997</v>
      </c>
      <c r="G47" s="72">
        <f t="shared" si="20"/>
        <v>825</v>
      </c>
      <c r="H47" s="73">
        <v>-1.6</v>
      </c>
      <c r="I47" s="74">
        <f>F47</f>
        <v>257.77999999999997</v>
      </c>
      <c r="J47" s="75">
        <f t="shared" si="21"/>
        <v>-412.5</v>
      </c>
      <c r="K47" s="76">
        <f t="shared" si="22"/>
        <v>1.6</v>
      </c>
      <c r="L47" s="77">
        <f t="shared" si="23"/>
        <v>257.77999999999997</v>
      </c>
      <c r="M47" s="78">
        <f t="shared" si="24"/>
        <v>412.5</v>
      </c>
    </row>
    <row r="48" spans="1:13" s="89" customFormat="1" ht="18" customHeight="1">
      <c r="A48" s="66" t="s">
        <v>75</v>
      </c>
      <c r="B48" s="67" t="s">
        <v>63</v>
      </c>
      <c r="C48" s="68" t="s">
        <v>64</v>
      </c>
      <c r="D48" s="69" t="s">
        <v>58</v>
      </c>
      <c r="E48" s="70">
        <v>129.36959999999999</v>
      </c>
      <c r="F48" s="71">
        <v>40.770000000000003</v>
      </c>
      <c r="G48" s="72">
        <f t="shared" si="20"/>
        <v>5279.5</v>
      </c>
      <c r="H48" s="73">
        <v>-1.6</v>
      </c>
      <c r="I48" s="74">
        <f t="shared" si="15"/>
        <v>40.770000000000003</v>
      </c>
      <c r="J48" s="75">
        <f t="shared" si="21"/>
        <v>-65.300000000000182</v>
      </c>
      <c r="K48" s="76">
        <f t="shared" si="22"/>
        <v>127.7696</v>
      </c>
      <c r="L48" s="77">
        <f t="shared" si="23"/>
        <v>40.770000000000003</v>
      </c>
      <c r="M48" s="78">
        <f t="shared" si="24"/>
        <v>5214.2</v>
      </c>
    </row>
    <row r="49" spans="1:13" s="89" customFormat="1" ht="18" customHeight="1">
      <c r="A49" s="66" t="s">
        <v>76</v>
      </c>
      <c r="B49" s="67" t="s">
        <v>66</v>
      </c>
      <c r="C49" s="68" t="s">
        <v>64</v>
      </c>
      <c r="D49" s="69" t="s">
        <v>58</v>
      </c>
      <c r="E49" s="70">
        <v>129.4</v>
      </c>
      <c r="F49" s="71">
        <v>84.98</v>
      </c>
      <c r="G49" s="72">
        <f t="shared" si="20"/>
        <v>10999</v>
      </c>
      <c r="H49" s="73">
        <v>-1.69</v>
      </c>
      <c r="I49" s="74">
        <f>F49</f>
        <v>84.98</v>
      </c>
      <c r="J49" s="75">
        <f t="shared" si="21"/>
        <v>-145.10000000000036</v>
      </c>
      <c r="K49" s="76">
        <f t="shared" si="22"/>
        <v>127.71000000000001</v>
      </c>
      <c r="L49" s="77">
        <f t="shared" si="23"/>
        <v>84.98</v>
      </c>
      <c r="M49" s="78">
        <f>ROUND(ROUND(L49,1)*ROUND(K49,1),1)-0.6</f>
        <v>10853.9</v>
      </c>
    </row>
    <row r="50" spans="1:13" s="89" customFormat="1" ht="18" customHeight="1">
      <c r="A50" s="80"/>
      <c r="B50" s="80"/>
      <c r="C50" s="80"/>
      <c r="D50" s="80"/>
      <c r="E50" s="81"/>
      <c r="F50" s="80"/>
      <c r="G50" s="82">
        <f>SUM(G36:G49)</f>
        <v>38949.4</v>
      </c>
      <c r="H50" s="83"/>
      <c r="I50" s="84"/>
      <c r="J50" s="85">
        <f>SUM(J36:J49)</f>
        <v>-15912.699999999999</v>
      </c>
      <c r="K50" s="86"/>
      <c r="L50" s="87"/>
      <c r="M50" s="88">
        <f>SUM(M36:M49)</f>
        <v>23036.699999999997</v>
      </c>
    </row>
    <row r="51" spans="1:13" s="89" customFormat="1" ht="18" customHeight="1">
      <c r="A51" s="196" t="s">
        <v>78</v>
      </c>
      <c r="B51" s="197"/>
      <c r="C51" s="197"/>
      <c r="D51" s="197"/>
      <c r="E51" s="81"/>
      <c r="F51" s="80"/>
      <c r="G51" s="82"/>
      <c r="H51" s="83"/>
      <c r="I51" s="84"/>
      <c r="J51" s="84"/>
      <c r="K51" s="86"/>
      <c r="L51" s="87"/>
      <c r="M51" s="88"/>
    </row>
    <row r="52" spans="1:13" s="89" customFormat="1" ht="18" customHeight="1">
      <c r="A52" s="80"/>
      <c r="B52" s="80"/>
      <c r="C52" s="80"/>
      <c r="D52" s="80"/>
      <c r="E52" s="81"/>
      <c r="F52" s="80"/>
      <c r="G52" s="82"/>
      <c r="H52" s="83"/>
      <c r="I52" s="84"/>
      <c r="J52" s="85"/>
      <c r="K52" s="86"/>
      <c r="L52" s="87"/>
      <c r="M52" s="88"/>
    </row>
    <row r="53" spans="1:13" s="89" customFormat="1" ht="18" customHeight="1">
      <c r="A53" s="46" t="s">
        <v>79</v>
      </c>
      <c r="B53" s="47" t="s">
        <v>31</v>
      </c>
      <c r="C53" s="40"/>
      <c r="D53" s="40"/>
      <c r="E53" s="198" t="s">
        <v>1</v>
      </c>
      <c r="F53" s="198"/>
      <c r="G53" s="198"/>
      <c r="H53" s="199" t="s">
        <v>10</v>
      </c>
      <c r="I53" s="199"/>
      <c r="J53" s="199"/>
      <c r="K53" s="200" t="s">
        <v>11</v>
      </c>
      <c r="L53" s="200"/>
      <c r="M53" s="200"/>
    </row>
    <row r="54" spans="1:13" s="89" customFormat="1" ht="23.1" customHeight="1">
      <c r="A54" s="48" t="s">
        <v>12</v>
      </c>
      <c r="B54" s="134" t="s">
        <v>13</v>
      </c>
      <c r="C54" s="48" t="s">
        <v>13</v>
      </c>
      <c r="D54" s="134" t="s">
        <v>14</v>
      </c>
      <c r="E54" s="135" t="s">
        <v>15</v>
      </c>
      <c r="F54" s="136" t="s">
        <v>16</v>
      </c>
      <c r="G54" s="52" t="s">
        <v>17</v>
      </c>
      <c r="H54" s="53" t="s">
        <v>15</v>
      </c>
      <c r="I54" s="54" t="s">
        <v>18</v>
      </c>
      <c r="J54" s="55" t="s">
        <v>17</v>
      </c>
      <c r="K54" s="56" t="s">
        <v>15</v>
      </c>
      <c r="L54" s="57" t="s">
        <v>18</v>
      </c>
      <c r="M54" s="58" t="s">
        <v>19</v>
      </c>
    </row>
    <row r="55" spans="1:13" s="89" customFormat="1" ht="18" customHeight="1">
      <c r="A55" s="60" t="s">
        <v>32</v>
      </c>
      <c r="B55" s="61" t="s">
        <v>33</v>
      </c>
      <c r="C55" s="62"/>
      <c r="D55" s="62"/>
      <c r="E55" s="62"/>
      <c r="F55" s="63"/>
      <c r="G55" s="64"/>
      <c r="H55" s="65"/>
      <c r="I55" s="65"/>
      <c r="J55" s="65"/>
      <c r="K55" s="64"/>
      <c r="L55" s="64"/>
      <c r="M55" s="64"/>
    </row>
    <row r="56" spans="1:13" s="89" customFormat="1" ht="23.1" customHeight="1">
      <c r="A56" s="66" t="s">
        <v>0</v>
      </c>
      <c r="B56" s="67" t="s">
        <v>309</v>
      </c>
      <c r="C56" s="138" t="s">
        <v>35</v>
      </c>
      <c r="D56" s="69" t="s">
        <v>36</v>
      </c>
      <c r="E56" s="70">
        <v>104.3</v>
      </c>
      <c r="F56" s="71">
        <v>55.24</v>
      </c>
      <c r="G56" s="72">
        <f>ROUND(ROUND(F56,1)*ROUND(E56,1),1)</f>
        <v>5757.4</v>
      </c>
      <c r="H56" s="73">
        <v>-104.3</v>
      </c>
      <c r="I56" s="74">
        <f>F56</f>
        <v>55.24</v>
      </c>
      <c r="J56" s="75">
        <f>+M56-G56</f>
        <v>-5757.4</v>
      </c>
      <c r="K56" s="76">
        <f>E56+H56</f>
        <v>0</v>
      </c>
      <c r="L56" s="77">
        <f t="shared" ref="L56" si="25">+I56</f>
        <v>55.24</v>
      </c>
      <c r="M56" s="78">
        <f t="shared" ref="M56" si="26">ROUND(ROUND(L56,1)*ROUND(K56,1),1)</f>
        <v>0</v>
      </c>
    </row>
    <row r="57" spans="1:13" s="89" customFormat="1" ht="18" customHeight="1">
      <c r="A57" s="66"/>
      <c r="B57" s="67"/>
      <c r="C57" s="68"/>
      <c r="D57" s="69"/>
      <c r="E57" s="70"/>
      <c r="F57" s="71"/>
      <c r="G57" s="72"/>
      <c r="H57" s="73"/>
      <c r="I57" s="74"/>
      <c r="J57" s="75"/>
      <c r="K57" s="76"/>
      <c r="L57" s="77"/>
      <c r="M57" s="78"/>
    </row>
    <row r="58" spans="1:13" s="89" customFormat="1" ht="18" customHeight="1">
      <c r="A58" s="60" t="s">
        <v>37</v>
      </c>
      <c r="B58" s="61" t="s">
        <v>38</v>
      </c>
      <c r="C58" s="62"/>
      <c r="D58" s="62"/>
      <c r="E58" s="62"/>
      <c r="F58" s="63"/>
      <c r="G58" s="64"/>
      <c r="H58" s="65"/>
      <c r="I58" s="65"/>
      <c r="J58" s="65"/>
      <c r="K58" s="64"/>
      <c r="L58" s="64"/>
      <c r="M58" s="64"/>
    </row>
    <row r="59" spans="1:13" s="89" customFormat="1" ht="18" customHeight="1">
      <c r="A59" s="66" t="s">
        <v>80</v>
      </c>
      <c r="B59" s="67" t="s">
        <v>40</v>
      </c>
      <c r="C59" s="68" t="s">
        <v>41</v>
      </c>
      <c r="D59" s="69" t="s">
        <v>36</v>
      </c>
      <c r="E59" s="70">
        <v>183.6</v>
      </c>
      <c r="F59" s="71">
        <v>23.2</v>
      </c>
      <c r="G59" s="72">
        <f t="shared" ref="G59:G61" si="27">ROUND(ROUND(F59,1)*ROUND(E59,1),1)</f>
        <v>4259.5</v>
      </c>
      <c r="H59" s="73">
        <v>-183.6</v>
      </c>
      <c r="I59" s="74">
        <f t="shared" ref="I59:I69" si="28">F59</f>
        <v>23.2</v>
      </c>
      <c r="J59" s="75">
        <f t="shared" ref="J59:J61" si="29">+M59-G59</f>
        <v>-4259.5</v>
      </c>
      <c r="K59" s="76">
        <f t="shared" ref="K59:K61" si="30">E59+H59</f>
        <v>0</v>
      </c>
      <c r="L59" s="77">
        <f t="shared" ref="L59:L61" si="31">+I59</f>
        <v>23.2</v>
      </c>
      <c r="M59" s="78">
        <f t="shared" ref="M59:M61" si="32">ROUND(ROUND(L59,1)*ROUND(K59,1),1)</f>
        <v>0</v>
      </c>
    </row>
    <row r="60" spans="1:13" s="89" customFormat="1" ht="23.1" customHeight="1">
      <c r="A60" s="66" t="s">
        <v>81</v>
      </c>
      <c r="B60" s="67" t="s">
        <v>310</v>
      </c>
      <c r="C60" s="139" t="s">
        <v>43</v>
      </c>
      <c r="D60" s="69" t="s">
        <v>36</v>
      </c>
      <c r="E60" s="70">
        <v>104.3</v>
      </c>
      <c r="F60" s="71">
        <v>338.17</v>
      </c>
      <c r="G60" s="72">
        <f t="shared" si="27"/>
        <v>35274.300000000003</v>
      </c>
      <c r="H60" s="73">
        <v>-104.3</v>
      </c>
      <c r="I60" s="74">
        <f t="shared" si="28"/>
        <v>338.17</v>
      </c>
      <c r="J60" s="75">
        <f t="shared" si="29"/>
        <v>-35274.300000000003</v>
      </c>
      <c r="K60" s="76">
        <f t="shared" si="30"/>
        <v>0</v>
      </c>
      <c r="L60" s="77">
        <f t="shared" si="31"/>
        <v>338.17</v>
      </c>
      <c r="M60" s="78">
        <f t="shared" si="32"/>
        <v>0</v>
      </c>
    </row>
    <row r="61" spans="1:13" s="89" customFormat="1" ht="23.1" customHeight="1">
      <c r="A61" s="66" t="s">
        <v>82</v>
      </c>
      <c r="B61" s="67" t="s">
        <v>45</v>
      </c>
      <c r="C61" s="139" t="s">
        <v>46</v>
      </c>
      <c r="D61" s="69" t="s">
        <v>36</v>
      </c>
      <c r="E61" s="70">
        <v>158.69999999999999</v>
      </c>
      <c r="F61" s="71">
        <v>431.47</v>
      </c>
      <c r="G61" s="72">
        <f t="shared" si="27"/>
        <v>68479.100000000006</v>
      </c>
      <c r="H61" s="73">
        <v>-158.69999999999999</v>
      </c>
      <c r="I61" s="74">
        <f t="shared" si="28"/>
        <v>431.47</v>
      </c>
      <c r="J61" s="75">
        <f t="shared" si="29"/>
        <v>-68479.100000000006</v>
      </c>
      <c r="K61" s="76">
        <f t="shared" si="30"/>
        <v>0</v>
      </c>
      <c r="L61" s="77">
        <f t="shared" si="31"/>
        <v>431.47</v>
      </c>
      <c r="M61" s="78">
        <f t="shared" si="32"/>
        <v>0</v>
      </c>
    </row>
    <row r="62" spans="1:13" s="89" customFormat="1" ht="18" customHeight="1">
      <c r="A62" s="131"/>
      <c r="B62" s="131"/>
      <c r="C62" s="132"/>
      <c r="D62" s="133"/>
      <c r="E62" s="70"/>
      <c r="F62" s="71"/>
      <c r="G62" s="72"/>
      <c r="H62" s="73"/>
      <c r="I62" s="74"/>
      <c r="J62" s="75"/>
      <c r="K62" s="76"/>
      <c r="L62" s="77"/>
      <c r="M62" s="78"/>
    </row>
    <row r="63" spans="1:13" s="89" customFormat="1" ht="18" customHeight="1">
      <c r="A63" s="60" t="s">
        <v>0</v>
      </c>
      <c r="B63" s="61" t="s">
        <v>47</v>
      </c>
      <c r="C63" s="62"/>
      <c r="D63" s="62"/>
      <c r="E63" s="62"/>
      <c r="F63" s="63"/>
      <c r="G63" s="64"/>
      <c r="H63" s="65"/>
      <c r="I63" s="65"/>
      <c r="J63" s="65"/>
      <c r="K63" s="64"/>
      <c r="L63" s="64"/>
      <c r="M63" s="64"/>
    </row>
    <row r="64" spans="1:13" s="89" customFormat="1" ht="18" customHeight="1">
      <c r="A64" s="66" t="s">
        <v>83</v>
      </c>
      <c r="B64" s="67" t="s">
        <v>49</v>
      </c>
      <c r="C64" s="68" t="s">
        <v>50</v>
      </c>
      <c r="D64" s="69" t="s">
        <v>51</v>
      </c>
      <c r="E64" s="70">
        <v>124</v>
      </c>
      <c r="F64" s="71">
        <v>72.34</v>
      </c>
      <c r="G64" s="72">
        <f t="shared" ref="G64:G69" si="33">ROUND(ROUND(F64,1)*ROUND(E64,1),1)</f>
        <v>8965.2000000000007</v>
      </c>
      <c r="H64" s="73">
        <v>-124</v>
      </c>
      <c r="I64" s="74">
        <f t="shared" si="28"/>
        <v>72.34</v>
      </c>
      <c r="J64" s="75">
        <f t="shared" ref="J64:J69" si="34">+M64-G64</f>
        <v>-8965.2000000000007</v>
      </c>
      <c r="K64" s="76">
        <f t="shared" ref="K64:K69" si="35">E64+H64</f>
        <v>0</v>
      </c>
      <c r="L64" s="77">
        <f t="shared" ref="L64:L69" si="36">+I64</f>
        <v>72.34</v>
      </c>
      <c r="M64" s="78">
        <f t="shared" ref="M64:M69" si="37">ROUND(ROUND(L64,1)*ROUND(K64,1),1)</f>
        <v>0</v>
      </c>
    </row>
    <row r="65" spans="1:13" s="89" customFormat="1" ht="18" customHeight="1">
      <c r="A65" s="66" t="s">
        <v>84</v>
      </c>
      <c r="B65" s="67" t="s">
        <v>53</v>
      </c>
      <c r="C65" s="68" t="s">
        <v>54</v>
      </c>
      <c r="D65" s="69" t="s">
        <v>51</v>
      </c>
      <c r="E65" s="70">
        <v>124</v>
      </c>
      <c r="F65" s="71">
        <v>87.65</v>
      </c>
      <c r="G65" s="72">
        <f t="shared" si="33"/>
        <v>10874.8</v>
      </c>
      <c r="H65" s="73">
        <v>-124</v>
      </c>
      <c r="I65" s="74">
        <f t="shared" si="28"/>
        <v>87.65</v>
      </c>
      <c r="J65" s="75">
        <f t="shared" si="34"/>
        <v>-10874.8</v>
      </c>
      <c r="K65" s="76">
        <f t="shared" si="35"/>
        <v>0</v>
      </c>
      <c r="L65" s="77">
        <f t="shared" si="36"/>
        <v>87.65</v>
      </c>
      <c r="M65" s="78">
        <f t="shared" si="37"/>
        <v>0</v>
      </c>
    </row>
    <row r="66" spans="1:13" s="89" customFormat="1" ht="18" customHeight="1">
      <c r="A66" s="66" t="s">
        <v>85</v>
      </c>
      <c r="B66" s="67" t="s">
        <v>56</v>
      </c>
      <c r="C66" s="68" t="s">
        <v>57</v>
      </c>
      <c r="D66" s="69" t="s">
        <v>58</v>
      </c>
      <c r="E66" s="70">
        <v>115</v>
      </c>
      <c r="F66" s="71">
        <v>51.29</v>
      </c>
      <c r="G66" s="72">
        <f t="shared" si="33"/>
        <v>5899.5</v>
      </c>
      <c r="H66" s="73">
        <v>-10.7</v>
      </c>
      <c r="I66" s="74">
        <f t="shared" si="28"/>
        <v>51.29</v>
      </c>
      <c r="J66" s="75">
        <f t="shared" si="34"/>
        <v>-548.89999999999964</v>
      </c>
      <c r="K66" s="76">
        <f t="shared" si="35"/>
        <v>104.3</v>
      </c>
      <c r="L66" s="77">
        <f t="shared" si="36"/>
        <v>51.29</v>
      </c>
      <c r="M66" s="78">
        <f t="shared" si="37"/>
        <v>5350.6</v>
      </c>
    </row>
    <row r="67" spans="1:13" s="89" customFormat="1" ht="23.1" customHeight="1">
      <c r="A67" s="66" t="s">
        <v>75</v>
      </c>
      <c r="B67" s="67" t="s">
        <v>60</v>
      </c>
      <c r="C67" s="139" t="s">
        <v>61</v>
      </c>
      <c r="D67" s="69" t="s">
        <v>58</v>
      </c>
      <c r="E67" s="70">
        <v>28.2</v>
      </c>
      <c r="F67" s="71">
        <v>257.77999999999997</v>
      </c>
      <c r="G67" s="72">
        <f t="shared" si="33"/>
        <v>7270</v>
      </c>
      <c r="H67" s="73">
        <v>-10.7</v>
      </c>
      <c r="I67" s="74">
        <f t="shared" si="28"/>
        <v>257.77999999999997</v>
      </c>
      <c r="J67" s="75">
        <f t="shared" si="34"/>
        <v>-2758.5</v>
      </c>
      <c r="K67" s="76">
        <f t="shared" si="35"/>
        <v>17.5</v>
      </c>
      <c r="L67" s="77">
        <f t="shared" si="36"/>
        <v>257.77999999999997</v>
      </c>
      <c r="M67" s="78">
        <f t="shared" si="37"/>
        <v>4511.5</v>
      </c>
    </row>
    <row r="68" spans="1:13" s="89" customFormat="1" ht="18" customHeight="1">
      <c r="A68" s="66" t="s">
        <v>86</v>
      </c>
      <c r="B68" s="67" t="s">
        <v>63</v>
      </c>
      <c r="C68" s="68" t="s">
        <v>64</v>
      </c>
      <c r="D68" s="69" t="s">
        <v>58</v>
      </c>
      <c r="E68" s="70">
        <v>115</v>
      </c>
      <c r="F68" s="71">
        <v>40.770000000000003</v>
      </c>
      <c r="G68" s="72">
        <f t="shared" si="33"/>
        <v>4692</v>
      </c>
      <c r="H68" s="73">
        <v>-10.7</v>
      </c>
      <c r="I68" s="74">
        <f t="shared" si="28"/>
        <v>40.770000000000003</v>
      </c>
      <c r="J68" s="75">
        <f t="shared" si="34"/>
        <v>-436.60000000000036</v>
      </c>
      <c r="K68" s="76">
        <f t="shared" si="35"/>
        <v>104.3</v>
      </c>
      <c r="L68" s="77">
        <f t="shared" si="36"/>
        <v>40.770000000000003</v>
      </c>
      <c r="M68" s="78">
        <f t="shared" si="37"/>
        <v>4255.3999999999996</v>
      </c>
    </row>
    <row r="69" spans="1:13" s="89" customFormat="1" ht="18" customHeight="1">
      <c r="A69" s="66" t="s">
        <v>87</v>
      </c>
      <c r="B69" s="67" t="s">
        <v>66</v>
      </c>
      <c r="C69" s="68" t="s">
        <v>64</v>
      </c>
      <c r="D69" s="69" t="s">
        <v>58</v>
      </c>
      <c r="E69" s="70">
        <v>115</v>
      </c>
      <c r="F69" s="71">
        <v>127.96</v>
      </c>
      <c r="G69" s="72">
        <f t="shared" si="33"/>
        <v>14720</v>
      </c>
      <c r="H69" s="73">
        <v>-10.7</v>
      </c>
      <c r="I69" s="74">
        <f t="shared" si="28"/>
        <v>127.96</v>
      </c>
      <c r="J69" s="75">
        <f t="shared" si="34"/>
        <v>-1369.6000000000004</v>
      </c>
      <c r="K69" s="76">
        <f t="shared" si="35"/>
        <v>104.3</v>
      </c>
      <c r="L69" s="77">
        <f t="shared" si="36"/>
        <v>127.96</v>
      </c>
      <c r="M69" s="78">
        <f t="shared" si="37"/>
        <v>13350.4</v>
      </c>
    </row>
    <row r="70" spans="1:13" s="89" customFormat="1" ht="18" customHeight="1">
      <c r="A70" s="80"/>
      <c r="B70" s="80"/>
      <c r="C70" s="80"/>
      <c r="D70" s="80"/>
      <c r="E70" s="81"/>
      <c r="F70" s="80"/>
      <c r="G70" s="82">
        <f>SUM(G56:G69)</f>
        <v>166191.80000000002</v>
      </c>
      <c r="H70" s="83"/>
      <c r="I70" s="84"/>
      <c r="J70" s="85">
        <f>SUM(J56:J69)</f>
        <v>-138723.90000000002</v>
      </c>
      <c r="K70" s="86"/>
      <c r="L70" s="87"/>
      <c r="M70" s="88">
        <f>SUM(M56:M69)</f>
        <v>27467.9</v>
      </c>
    </row>
    <row r="71" spans="1:13" s="89" customFormat="1" ht="18" customHeight="1">
      <c r="A71" s="196" t="s">
        <v>88</v>
      </c>
      <c r="B71" s="197"/>
      <c r="C71" s="197"/>
      <c r="D71" s="197"/>
      <c r="E71" s="81"/>
      <c r="F71" s="80"/>
      <c r="G71" s="82"/>
      <c r="H71" s="83"/>
      <c r="I71" s="84"/>
      <c r="J71" s="85"/>
      <c r="K71" s="86"/>
      <c r="L71" s="87"/>
      <c r="M71" s="88"/>
    </row>
    <row r="72" spans="1:13" s="89" customFormat="1" ht="18" customHeight="1">
      <c r="A72" s="80"/>
      <c r="B72" s="80"/>
      <c r="C72" s="80"/>
      <c r="D72" s="80"/>
      <c r="E72" s="81"/>
      <c r="F72" s="80"/>
      <c r="G72" s="82"/>
      <c r="H72" s="83"/>
      <c r="I72" s="84"/>
      <c r="J72" s="85"/>
      <c r="K72" s="86"/>
      <c r="L72" s="87"/>
      <c r="M72" s="88"/>
    </row>
    <row r="73" spans="1:13" s="89" customFormat="1" ht="18" customHeight="1">
      <c r="A73" s="46" t="s">
        <v>89</v>
      </c>
      <c r="B73" s="47" t="s">
        <v>31</v>
      </c>
      <c r="C73" s="40"/>
      <c r="D73" s="40"/>
      <c r="E73" s="198" t="s">
        <v>1</v>
      </c>
      <c r="F73" s="198"/>
      <c r="G73" s="198"/>
      <c r="H73" s="199" t="s">
        <v>10</v>
      </c>
      <c r="I73" s="199"/>
      <c r="J73" s="199"/>
      <c r="K73" s="200" t="s">
        <v>11</v>
      </c>
      <c r="L73" s="200"/>
      <c r="M73" s="200"/>
    </row>
    <row r="74" spans="1:13" s="89" customFormat="1" ht="23.1" customHeight="1">
      <c r="A74" s="48" t="s">
        <v>12</v>
      </c>
      <c r="B74" s="134" t="s">
        <v>13</v>
      </c>
      <c r="C74" s="48" t="s">
        <v>13</v>
      </c>
      <c r="D74" s="134" t="s">
        <v>14</v>
      </c>
      <c r="E74" s="135" t="s">
        <v>15</v>
      </c>
      <c r="F74" s="136" t="s">
        <v>16</v>
      </c>
      <c r="G74" s="52" t="s">
        <v>17</v>
      </c>
      <c r="H74" s="53" t="s">
        <v>15</v>
      </c>
      <c r="I74" s="54" t="s">
        <v>18</v>
      </c>
      <c r="J74" s="55" t="s">
        <v>17</v>
      </c>
      <c r="K74" s="56" t="s">
        <v>15</v>
      </c>
      <c r="L74" s="57" t="s">
        <v>18</v>
      </c>
      <c r="M74" s="58" t="s">
        <v>19</v>
      </c>
    </row>
    <row r="75" spans="1:13" s="89" customFormat="1" ht="18" customHeight="1">
      <c r="A75" s="60" t="s">
        <v>32</v>
      </c>
      <c r="B75" s="61" t="s">
        <v>33</v>
      </c>
      <c r="C75" s="62"/>
      <c r="D75" s="62"/>
      <c r="E75" s="62"/>
      <c r="F75" s="63"/>
      <c r="G75" s="64"/>
      <c r="H75" s="65"/>
      <c r="I75" s="65"/>
      <c r="J75" s="65"/>
      <c r="K75" s="64"/>
      <c r="L75" s="64"/>
      <c r="M75" s="64"/>
    </row>
    <row r="76" spans="1:13" s="89" customFormat="1" ht="18" customHeight="1">
      <c r="A76" s="66" t="s">
        <v>37</v>
      </c>
      <c r="B76" s="67" t="s">
        <v>309</v>
      </c>
      <c r="C76" s="138" t="s">
        <v>35</v>
      </c>
      <c r="D76" s="69" t="s">
        <v>36</v>
      </c>
      <c r="E76" s="70">
        <v>7.9</v>
      </c>
      <c r="F76" s="71">
        <v>55.24</v>
      </c>
      <c r="G76" s="72">
        <f>ROUND(ROUND(F76,1)*ROUND(E76,1),1)</f>
        <v>436.1</v>
      </c>
      <c r="H76" s="73">
        <v>-7.9</v>
      </c>
      <c r="I76" s="74">
        <f>F76</f>
        <v>55.24</v>
      </c>
      <c r="J76" s="75">
        <f>+M76-G76</f>
        <v>-436.1</v>
      </c>
      <c r="K76" s="76">
        <f>E76+H76</f>
        <v>0</v>
      </c>
      <c r="L76" s="77">
        <f t="shared" ref="L76" si="38">+I76</f>
        <v>55.24</v>
      </c>
      <c r="M76" s="78">
        <f t="shared" ref="M76" si="39">ROUND(ROUND(L76,1)*ROUND(K76,1),1)</f>
        <v>0</v>
      </c>
    </row>
    <row r="77" spans="1:13" s="89" customFormat="1" ht="18" customHeight="1">
      <c r="A77" s="66"/>
      <c r="B77" s="67"/>
      <c r="C77" s="68"/>
      <c r="D77" s="69"/>
      <c r="E77" s="70"/>
      <c r="F77" s="71"/>
      <c r="G77" s="72"/>
      <c r="H77" s="73"/>
      <c r="I77" s="74"/>
      <c r="J77" s="75"/>
      <c r="K77" s="76"/>
      <c r="L77" s="77"/>
      <c r="M77" s="78"/>
    </row>
    <row r="78" spans="1:13" s="89" customFormat="1" ht="18" customHeight="1">
      <c r="A78" s="60"/>
      <c r="B78" s="61" t="s">
        <v>38</v>
      </c>
      <c r="C78" s="62"/>
      <c r="D78" s="62"/>
      <c r="E78" s="62"/>
      <c r="F78" s="63"/>
      <c r="G78" s="64"/>
      <c r="H78" s="65"/>
      <c r="I78" s="65"/>
      <c r="J78" s="65"/>
      <c r="K78" s="64"/>
      <c r="L78" s="64"/>
      <c r="M78" s="64"/>
    </row>
    <row r="79" spans="1:13" s="89" customFormat="1" ht="18" customHeight="1">
      <c r="A79" s="66" t="s">
        <v>68</v>
      </c>
      <c r="B79" s="67" t="s">
        <v>40</v>
      </c>
      <c r="C79" s="68" t="s">
        <v>41</v>
      </c>
      <c r="D79" s="69" t="s">
        <v>36</v>
      </c>
      <c r="E79" s="70">
        <v>13</v>
      </c>
      <c r="F79" s="71">
        <v>23.2</v>
      </c>
      <c r="G79" s="72">
        <f t="shared" ref="G79:G81" si="40">ROUND(ROUND(F79,1)*ROUND(E79,1),1)</f>
        <v>301.60000000000002</v>
      </c>
      <c r="H79" s="73">
        <v>-13</v>
      </c>
      <c r="I79" s="74">
        <f t="shared" ref="I79:I89" si="41">F79</f>
        <v>23.2</v>
      </c>
      <c r="J79" s="75">
        <f t="shared" ref="J79:J81" si="42">+M79-G79</f>
        <v>-301.60000000000002</v>
      </c>
      <c r="K79" s="76">
        <f t="shared" ref="K79:K81" si="43">E79+H79</f>
        <v>0</v>
      </c>
      <c r="L79" s="77">
        <f t="shared" ref="L79:L81" si="44">+I79</f>
        <v>23.2</v>
      </c>
      <c r="M79" s="78">
        <f t="shared" ref="M79:M81" si="45">ROUND(ROUND(L79,1)*ROUND(K79,1),1)</f>
        <v>0</v>
      </c>
    </row>
    <row r="80" spans="1:13" s="89" customFormat="1" ht="21.95" customHeight="1">
      <c r="A80" s="66" t="s">
        <v>69</v>
      </c>
      <c r="B80" s="67" t="s">
        <v>310</v>
      </c>
      <c r="C80" s="139" t="s">
        <v>43</v>
      </c>
      <c r="D80" s="69" t="s">
        <v>36</v>
      </c>
      <c r="E80" s="70">
        <v>7.9</v>
      </c>
      <c r="F80" s="71">
        <v>338.17</v>
      </c>
      <c r="G80" s="72">
        <f t="shared" si="40"/>
        <v>2671.8</v>
      </c>
      <c r="H80" s="73">
        <v>-7.9</v>
      </c>
      <c r="I80" s="74">
        <f t="shared" si="41"/>
        <v>338.17</v>
      </c>
      <c r="J80" s="75">
        <f t="shared" si="42"/>
        <v>-2671.8</v>
      </c>
      <c r="K80" s="76">
        <f t="shared" si="43"/>
        <v>0</v>
      </c>
      <c r="L80" s="77">
        <f t="shared" si="44"/>
        <v>338.17</v>
      </c>
      <c r="M80" s="78">
        <f t="shared" si="45"/>
        <v>0</v>
      </c>
    </row>
    <row r="81" spans="1:13" s="89" customFormat="1" ht="21.95" customHeight="1">
      <c r="A81" s="66" t="s">
        <v>70</v>
      </c>
      <c r="B81" s="67" t="s">
        <v>45</v>
      </c>
      <c r="C81" s="139" t="s">
        <v>46</v>
      </c>
      <c r="D81" s="69" t="s">
        <v>36</v>
      </c>
      <c r="E81" s="70">
        <v>10.199999999999999</v>
      </c>
      <c r="F81" s="71">
        <v>431.47</v>
      </c>
      <c r="G81" s="72">
        <f t="shared" si="40"/>
        <v>4401.3</v>
      </c>
      <c r="H81" s="73">
        <v>-10.199999999999999</v>
      </c>
      <c r="I81" s="74">
        <f t="shared" si="41"/>
        <v>431.47</v>
      </c>
      <c r="J81" s="75">
        <f t="shared" si="42"/>
        <v>-4401.3</v>
      </c>
      <c r="K81" s="76">
        <f t="shared" si="43"/>
        <v>0</v>
      </c>
      <c r="L81" s="77">
        <f t="shared" si="44"/>
        <v>431.47</v>
      </c>
      <c r="M81" s="78">
        <f t="shared" si="45"/>
        <v>0</v>
      </c>
    </row>
    <row r="82" spans="1:13" s="89" customFormat="1" ht="18" customHeight="1">
      <c r="A82" s="131"/>
      <c r="B82" s="131"/>
      <c r="C82" s="132"/>
      <c r="D82" s="133"/>
      <c r="E82" s="70"/>
      <c r="F82" s="71"/>
      <c r="G82" s="72"/>
      <c r="H82" s="73"/>
      <c r="I82" s="74"/>
      <c r="J82" s="75"/>
      <c r="K82" s="76"/>
      <c r="L82" s="77"/>
      <c r="M82" s="78"/>
    </row>
    <row r="83" spans="1:13" s="89" customFormat="1" ht="18" customHeight="1">
      <c r="A83" s="60"/>
      <c r="B83" s="61" t="s">
        <v>47</v>
      </c>
      <c r="C83" s="62"/>
      <c r="D83" s="62"/>
      <c r="E83" s="62"/>
      <c r="F83" s="63"/>
      <c r="G83" s="64"/>
      <c r="H83" s="65"/>
      <c r="I83" s="65"/>
      <c r="J83" s="65"/>
      <c r="K83" s="64"/>
      <c r="L83" s="64"/>
      <c r="M83" s="64"/>
    </row>
    <row r="84" spans="1:13" s="89" customFormat="1" ht="18" customHeight="1">
      <c r="A84" s="66" t="s">
        <v>90</v>
      </c>
      <c r="B84" s="67" t="s">
        <v>49</v>
      </c>
      <c r="C84" s="68" t="s">
        <v>50</v>
      </c>
      <c r="D84" s="69" t="s">
        <v>51</v>
      </c>
      <c r="E84" s="70">
        <v>12.7</v>
      </c>
      <c r="F84" s="71">
        <v>72.34</v>
      </c>
      <c r="G84" s="72">
        <f t="shared" ref="G84:G89" si="46">ROUND(ROUND(F84,1)*ROUND(E84,1),1)</f>
        <v>918.2</v>
      </c>
      <c r="H84" s="73">
        <v>-12.7</v>
      </c>
      <c r="I84" s="74">
        <f t="shared" si="41"/>
        <v>72.34</v>
      </c>
      <c r="J84" s="75">
        <f t="shared" ref="J84:J89" si="47">+M84-G84</f>
        <v>-918.2</v>
      </c>
      <c r="K84" s="76">
        <f t="shared" ref="K84:K89" si="48">E84+H84</f>
        <v>0</v>
      </c>
      <c r="L84" s="77">
        <f t="shared" ref="L84:L89" si="49">+I84</f>
        <v>72.34</v>
      </c>
      <c r="M84" s="78">
        <f t="shared" ref="M84:M88" si="50">ROUND(ROUND(L84,1)*ROUND(K84,1),1)</f>
        <v>0</v>
      </c>
    </row>
    <row r="85" spans="1:13" s="89" customFormat="1" ht="18" customHeight="1">
      <c r="A85" s="66" t="s">
        <v>91</v>
      </c>
      <c r="B85" s="67" t="s">
        <v>53</v>
      </c>
      <c r="C85" s="68" t="s">
        <v>54</v>
      </c>
      <c r="D85" s="69" t="s">
        <v>51</v>
      </c>
      <c r="E85" s="70">
        <v>12.7</v>
      </c>
      <c r="F85" s="71">
        <v>87.65</v>
      </c>
      <c r="G85" s="72">
        <f t="shared" si="46"/>
        <v>1113.8</v>
      </c>
      <c r="H85" s="73">
        <v>-12.7</v>
      </c>
      <c r="I85" s="74">
        <f t="shared" si="41"/>
        <v>87.65</v>
      </c>
      <c r="J85" s="75">
        <f t="shared" si="47"/>
        <v>-1113.8</v>
      </c>
      <c r="K85" s="76">
        <f t="shared" si="48"/>
        <v>0</v>
      </c>
      <c r="L85" s="77">
        <f t="shared" si="49"/>
        <v>87.65</v>
      </c>
      <c r="M85" s="78">
        <f t="shared" si="50"/>
        <v>0</v>
      </c>
    </row>
    <row r="86" spans="1:13" s="89" customFormat="1" ht="18" customHeight="1">
      <c r="A86" s="66" t="s">
        <v>92</v>
      </c>
      <c r="B86" s="67" t="s">
        <v>56</v>
      </c>
      <c r="C86" s="68" t="s">
        <v>57</v>
      </c>
      <c r="D86" s="69" t="s">
        <v>58</v>
      </c>
      <c r="E86" s="70">
        <v>80</v>
      </c>
      <c r="F86" s="71">
        <v>51.29</v>
      </c>
      <c r="G86" s="72">
        <f t="shared" si="46"/>
        <v>4104</v>
      </c>
      <c r="H86" s="73">
        <v>-0.7</v>
      </c>
      <c r="I86" s="74">
        <f t="shared" si="41"/>
        <v>51.29</v>
      </c>
      <c r="J86" s="75">
        <f t="shared" si="47"/>
        <v>-35.900000000000091</v>
      </c>
      <c r="K86" s="76">
        <f t="shared" si="48"/>
        <v>79.3</v>
      </c>
      <c r="L86" s="77">
        <f t="shared" si="49"/>
        <v>51.29</v>
      </c>
      <c r="M86" s="78">
        <f t="shared" si="50"/>
        <v>4068.1</v>
      </c>
    </row>
    <row r="87" spans="1:13" s="89" customFormat="1" ht="21.95" customHeight="1">
      <c r="A87" s="66" t="s">
        <v>94</v>
      </c>
      <c r="B87" s="67" t="s">
        <v>60</v>
      </c>
      <c r="C87" s="139" t="s">
        <v>61</v>
      </c>
      <c r="D87" s="69" t="s">
        <v>58</v>
      </c>
      <c r="E87" s="70">
        <v>1.9</v>
      </c>
      <c r="F87" s="71">
        <v>257.77999999999997</v>
      </c>
      <c r="G87" s="72">
        <f t="shared" si="46"/>
        <v>489.8</v>
      </c>
      <c r="H87" s="73">
        <v>-0.7</v>
      </c>
      <c r="I87" s="74">
        <f t="shared" si="41"/>
        <v>257.77999999999997</v>
      </c>
      <c r="J87" s="75">
        <f t="shared" si="47"/>
        <v>-180.40000000000003</v>
      </c>
      <c r="K87" s="76">
        <f t="shared" si="48"/>
        <v>1.2</v>
      </c>
      <c r="L87" s="77">
        <f t="shared" si="49"/>
        <v>257.77999999999997</v>
      </c>
      <c r="M87" s="78">
        <f t="shared" si="50"/>
        <v>309.39999999999998</v>
      </c>
    </row>
    <row r="88" spans="1:13" s="89" customFormat="1" ht="18" customHeight="1">
      <c r="A88" s="66" t="s">
        <v>93</v>
      </c>
      <c r="B88" s="67" t="s">
        <v>63</v>
      </c>
      <c r="C88" s="68" t="s">
        <v>64</v>
      </c>
      <c r="D88" s="69" t="s">
        <v>58</v>
      </c>
      <c r="E88" s="70">
        <v>80</v>
      </c>
      <c r="F88" s="71">
        <v>40.770000000000003</v>
      </c>
      <c r="G88" s="72">
        <f t="shared" si="46"/>
        <v>3264</v>
      </c>
      <c r="H88" s="73">
        <v>-0.7</v>
      </c>
      <c r="I88" s="74">
        <f t="shared" si="41"/>
        <v>40.770000000000003</v>
      </c>
      <c r="J88" s="75">
        <f t="shared" si="47"/>
        <v>-28.599999999999909</v>
      </c>
      <c r="K88" s="76">
        <f t="shared" si="48"/>
        <v>79.3</v>
      </c>
      <c r="L88" s="77">
        <f t="shared" si="49"/>
        <v>40.770000000000003</v>
      </c>
      <c r="M88" s="78">
        <f t="shared" si="50"/>
        <v>3235.4</v>
      </c>
    </row>
    <row r="89" spans="1:13" s="89" customFormat="1" ht="18" customHeight="1">
      <c r="A89" s="66" t="s">
        <v>95</v>
      </c>
      <c r="B89" s="67" t="s">
        <v>66</v>
      </c>
      <c r="C89" s="68" t="s">
        <v>64</v>
      </c>
      <c r="D89" s="69" t="s">
        <v>58</v>
      </c>
      <c r="E89" s="70">
        <v>80</v>
      </c>
      <c r="F89" s="71">
        <v>82.04</v>
      </c>
      <c r="G89" s="72">
        <f t="shared" si="46"/>
        <v>6560</v>
      </c>
      <c r="H89" s="73">
        <v>-0.7</v>
      </c>
      <c r="I89" s="74">
        <f t="shared" si="41"/>
        <v>82.04</v>
      </c>
      <c r="J89" s="75">
        <f t="shared" si="47"/>
        <v>-61.199999999999818</v>
      </c>
      <c r="K89" s="76">
        <f t="shared" si="48"/>
        <v>79.3</v>
      </c>
      <c r="L89" s="77">
        <f t="shared" si="49"/>
        <v>82.04</v>
      </c>
      <c r="M89" s="78">
        <f>ROUND(ROUND(L89,1)*ROUND(K89,1),1)-3.8</f>
        <v>6498.8</v>
      </c>
    </row>
    <row r="90" spans="1:13" s="89" customFormat="1" ht="18" customHeight="1">
      <c r="A90" s="80"/>
      <c r="B90" s="80"/>
      <c r="C90" s="80"/>
      <c r="D90" s="80"/>
      <c r="E90" s="81"/>
      <c r="F90" s="80"/>
      <c r="G90" s="82">
        <f>SUM(G76:G89)</f>
        <v>24260.6</v>
      </c>
      <c r="H90" s="83"/>
      <c r="I90" s="84"/>
      <c r="J90" s="85">
        <f>SUM(J76:J89)</f>
        <v>-10148.899999999998</v>
      </c>
      <c r="K90" s="86"/>
      <c r="L90" s="87"/>
      <c r="M90" s="88">
        <f>SUM(M76:M89)</f>
        <v>14111.7</v>
      </c>
    </row>
    <row r="91" spans="1:13" s="102" customFormat="1" ht="24.95" customHeight="1" thickBot="1">
      <c r="A91" s="90"/>
      <c r="B91" s="91"/>
      <c r="C91" s="92"/>
      <c r="D91" s="93"/>
      <c r="E91" s="94"/>
      <c r="F91" s="95"/>
      <c r="G91" s="96"/>
      <c r="H91" s="97"/>
      <c r="I91" s="98"/>
      <c r="J91" s="99"/>
      <c r="K91" s="100"/>
      <c r="L91" s="100"/>
      <c r="M91" s="101"/>
    </row>
    <row r="92" spans="1:13" s="102" customFormat="1" ht="24.95" customHeight="1" thickBot="1">
      <c r="A92" s="103"/>
      <c r="B92" s="104"/>
      <c r="C92" s="105" t="s">
        <v>20</v>
      </c>
      <c r="D92" s="106"/>
      <c r="E92" s="107"/>
      <c r="F92" s="108"/>
      <c r="G92" s="109">
        <f>G90+G70+G50+G30</f>
        <v>1552995.4000000001</v>
      </c>
      <c r="H92" s="110"/>
      <c r="I92" s="110"/>
      <c r="J92" s="111">
        <f>J90+J70+J50+J30</f>
        <v>-1337051.6000000001</v>
      </c>
      <c r="K92" s="110"/>
      <c r="L92" s="110"/>
      <c r="M92" s="112">
        <f>M90+M70+M50+M30</f>
        <v>215943.8</v>
      </c>
    </row>
    <row r="93" spans="1:13" s="102" customFormat="1" ht="24.95" customHeight="1">
      <c r="B93" s="116"/>
      <c r="C93" s="117"/>
      <c r="D93" s="118"/>
      <c r="E93" s="119"/>
      <c r="F93" s="95"/>
      <c r="G93" s="120"/>
      <c r="H93" s="121"/>
      <c r="I93" s="122"/>
      <c r="J93" s="113"/>
      <c r="K93" s="114"/>
      <c r="L93" s="114"/>
      <c r="M93" s="115"/>
    </row>
    <row r="94" spans="1:13" s="123" customFormat="1" ht="24.95" customHeight="1">
      <c r="B94" s="124" t="s">
        <v>21</v>
      </c>
      <c r="C94" s="125" t="s">
        <v>22</v>
      </c>
      <c r="E94" s="126"/>
      <c r="G94" s="125" t="s">
        <v>23</v>
      </c>
      <c r="H94" s="121"/>
      <c r="I94" s="127"/>
      <c r="J94" s="113"/>
      <c r="K94" s="128" t="s">
        <v>24</v>
      </c>
      <c r="L94" s="115"/>
      <c r="M94" s="115"/>
    </row>
    <row r="95" spans="1:13" s="123" customFormat="1" ht="24.95" customHeight="1">
      <c r="B95" s="124"/>
      <c r="C95" s="125"/>
      <c r="E95" s="126"/>
      <c r="G95" s="125"/>
      <c r="H95" s="121"/>
      <c r="I95" s="127"/>
      <c r="J95" s="113"/>
      <c r="K95" s="128"/>
      <c r="L95" s="115"/>
      <c r="M95" s="150"/>
    </row>
    <row r="96" spans="1:13" s="123" customFormat="1" ht="24.95" customHeight="1">
      <c r="B96" s="124" t="s">
        <v>25</v>
      </c>
      <c r="C96" s="124" t="s">
        <v>26</v>
      </c>
      <c r="E96" s="126"/>
      <c r="G96" s="124" t="s">
        <v>25</v>
      </c>
      <c r="H96" s="121"/>
      <c r="I96" s="127"/>
      <c r="J96" s="113"/>
      <c r="K96" s="124" t="s">
        <v>25</v>
      </c>
      <c r="L96" s="115"/>
      <c r="M96" s="150"/>
    </row>
    <row r="97" spans="2:9">
      <c r="B97" s="40"/>
      <c r="C97" s="40"/>
      <c r="D97" s="40"/>
      <c r="E97" s="41"/>
      <c r="G97" s="43"/>
      <c r="H97" s="44"/>
      <c r="I97" s="45"/>
    </row>
    <row r="98" spans="2:9">
      <c r="B98" s="40"/>
      <c r="C98" s="40"/>
      <c r="D98" s="40"/>
      <c r="E98" s="41"/>
      <c r="G98" s="43"/>
      <c r="H98" s="44"/>
      <c r="I98" s="45"/>
    </row>
    <row r="99" spans="2:9">
      <c r="B99" s="40"/>
      <c r="C99" s="40"/>
      <c r="D99" s="40"/>
      <c r="E99" s="41"/>
      <c r="G99" s="43"/>
      <c r="H99" s="44"/>
      <c r="I99" s="45"/>
    </row>
    <row r="100" spans="2:9">
      <c r="B100" s="40"/>
      <c r="C100" s="40"/>
      <c r="D100" s="40"/>
      <c r="E100" s="41"/>
      <c r="G100" s="43"/>
      <c r="H100" s="44"/>
      <c r="I100" s="45"/>
    </row>
    <row r="101" spans="2:9">
      <c r="B101" s="40"/>
      <c r="C101" s="40"/>
      <c r="D101" s="40"/>
      <c r="E101" s="41"/>
      <c r="G101" s="43"/>
      <c r="H101" s="44"/>
      <c r="I101" s="45"/>
    </row>
    <row r="102" spans="2:9">
      <c r="B102" s="40"/>
      <c r="C102" s="40"/>
      <c r="D102" s="40"/>
      <c r="E102" s="41"/>
      <c r="G102" s="43"/>
      <c r="H102" s="44"/>
      <c r="I102" s="45"/>
    </row>
    <row r="103" spans="2:9">
      <c r="B103" s="40"/>
      <c r="C103" s="40"/>
      <c r="D103" s="40"/>
      <c r="E103" s="41"/>
      <c r="G103" s="43"/>
      <c r="H103" s="44"/>
      <c r="I103" s="45"/>
    </row>
    <row r="104" spans="2:9">
      <c r="B104" s="40"/>
      <c r="C104" s="40"/>
      <c r="D104" s="40"/>
      <c r="E104" s="41"/>
      <c r="G104" s="43"/>
      <c r="H104" s="44"/>
      <c r="I104" s="45"/>
    </row>
    <row r="105" spans="2:9">
      <c r="B105" s="40"/>
      <c r="C105" s="40"/>
      <c r="D105" s="40"/>
      <c r="E105" s="41"/>
      <c r="G105" s="43"/>
      <c r="H105" s="44"/>
      <c r="I105" s="45"/>
    </row>
    <row r="106" spans="2:9">
      <c r="B106" s="40"/>
      <c r="C106" s="40"/>
      <c r="D106" s="40"/>
      <c r="E106" s="41"/>
      <c r="G106" s="43"/>
      <c r="H106" s="44"/>
      <c r="I106" s="45"/>
    </row>
    <row r="107" spans="2:9">
      <c r="B107" s="40"/>
      <c r="C107" s="40"/>
      <c r="D107" s="40"/>
      <c r="E107" s="41"/>
      <c r="G107" s="43"/>
      <c r="H107" s="44"/>
      <c r="I107" s="45"/>
    </row>
    <row r="108" spans="2:9">
      <c r="B108" s="40"/>
      <c r="C108" s="40"/>
      <c r="D108" s="40"/>
      <c r="E108" s="41"/>
      <c r="G108" s="43"/>
      <c r="H108" s="44"/>
      <c r="I108" s="45"/>
    </row>
    <row r="109" spans="2:9">
      <c r="B109" s="40"/>
      <c r="C109" s="40"/>
      <c r="D109" s="40"/>
      <c r="E109" s="41"/>
      <c r="G109" s="43"/>
      <c r="H109" s="44"/>
      <c r="I109" s="45"/>
    </row>
    <row r="110" spans="2:9">
      <c r="B110" s="40"/>
      <c r="C110" s="40"/>
      <c r="D110" s="40"/>
      <c r="E110" s="41"/>
      <c r="G110" s="43"/>
      <c r="H110" s="44"/>
      <c r="I110" s="45"/>
    </row>
    <row r="111" spans="2:9">
      <c r="B111" s="40"/>
      <c r="C111" s="40"/>
      <c r="D111" s="40"/>
      <c r="E111" s="41"/>
      <c r="G111" s="43"/>
      <c r="H111" s="44"/>
      <c r="I111" s="45"/>
    </row>
    <row r="112" spans="2:9">
      <c r="B112" s="40"/>
      <c r="C112" s="40"/>
      <c r="D112" s="40"/>
      <c r="E112" s="41"/>
      <c r="G112" s="43"/>
      <c r="H112" s="44"/>
      <c r="I112" s="45"/>
    </row>
    <row r="113" spans="2:9">
      <c r="B113" s="40"/>
      <c r="C113" s="40"/>
      <c r="D113" s="40"/>
      <c r="E113" s="41"/>
      <c r="G113" s="43"/>
      <c r="H113" s="44"/>
      <c r="I113" s="45"/>
    </row>
    <row r="114" spans="2:9">
      <c r="B114" s="40"/>
      <c r="C114" s="40"/>
      <c r="D114" s="40"/>
      <c r="E114" s="41"/>
      <c r="G114" s="43"/>
      <c r="H114" s="44"/>
      <c r="I114" s="45"/>
    </row>
    <row r="115" spans="2:9">
      <c r="B115" s="40"/>
      <c r="C115" s="40"/>
      <c r="D115" s="40"/>
      <c r="E115" s="41"/>
      <c r="G115" s="43"/>
      <c r="H115" s="44"/>
      <c r="I115" s="45"/>
    </row>
    <row r="116" spans="2:9">
      <c r="B116" s="40"/>
      <c r="C116" s="40"/>
      <c r="D116" s="40"/>
      <c r="E116" s="41"/>
      <c r="G116" s="43"/>
      <c r="H116" s="44"/>
      <c r="I116" s="45"/>
    </row>
    <row r="117" spans="2:9">
      <c r="B117" s="40"/>
      <c r="C117" s="40"/>
      <c r="D117" s="40"/>
      <c r="E117" s="41"/>
      <c r="G117" s="43"/>
      <c r="H117" s="44"/>
      <c r="I117" s="45"/>
    </row>
    <row r="118" spans="2:9">
      <c r="B118" s="40"/>
      <c r="C118" s="40"/>
      <c r="D118" s="40"/>
      <c r="E118" s="41"/>
      <c r="G118" s="43"/>
      <c r="H118" s="44"/>
      <c r="I118" s="45"/>
    </row>
    <row r="119" spans="2:9">
      <c r="B119" s="40"/>
      <c r="C119" s="40"/>
      <c r="D119" s="40"/>
      <c r="E119" s="41"/>
      <c r="G119" s="43"/>
      <c r="H119" s="44"/>
      <c r="I119" s="45"/>
    </row>
    <row r="120" spans="2:9">
      <c r="B120" s="40"/>
      <c r="C120" s="40"/>
      <c r="D120" s="40"/>
      <c r="E120" s="41"/>
      <c r="G120" s="43"/>
      <c r="H120" s="44"/>
      <c r="I120" s="45"/>
    </row>
    <row r="121" spans="2:9">
      <c r="B121" s="40"/>
      <c r="C121" s="40"/>
      <c r="D121" s="40"/>
      <c r="E121" s="41"/>
      <c r="G121" s="43"/>
      <c r="H121" s="44"/>
      <c r="I121" s="45"/>
    </row>
    <row r="122" spans="2:9">
      <c r="B122" s="40"/>
      <c r="C122" s="40"/>
      <c r="D122" s="40"/>
      <c r="E122" s="41"/>
      <c r="G122" s="43"/>
      <c r="H122" s="44"/>
      <c r="I122" s="45"/>
    </row>
    <row r="123" spans="2:9">
      <c r="B123" s="40"/>
      <c r="C123" s="40"/>
      <c r="D123" s="40"/>
      <c r="E123" s="41"/>
      <c r="G123" s="43"/>
      <c r="H123" s="44"/>
      <c r="I123" s="45"/>
    </row>
    <row r="124" spans="2:9">
      <c r="B124" s="40"/>
      <c r="C124" s="40"/>
      <c r="D124" s="40"/>
      <c r="E124" s="41"/>
      <c r="G124" s="43"/>
      <c r="H124" s="44"/>
      <c r="I124" s="45"/>
    </row>
    <row r="125" spans="2:9">
      <c r="B125" s="40"/>
      <c r="C125" s="40"/>
      <c r="D125" s="40"/>
      <c r="E125" s="41"/>
      <c r="G125" s="43"/>
      <c r="H125" s="44"/>
      <c r="I125" s="45"/>
    </row>
    <row r="126" spans="2:9">
      <c r="B126" s="40"/>
      <c r="C126" s="40"/>
      <c r="D126" s="40"/>
      <c r="E126" s="41"/>
      <c r="G126" s="43"/>
      <c r="H126" s="44"/>
      <c r="I126" s="45"/>
    </row>
    <row r="127" spans="2:9">
      <c r="B127" s="40"/>
      <c r="C127" s="40"/>
      <c r="D127" s="40"/>
      <c r="E127" s="41"/>
      <c r="G127" s="43"/>
      <c r="H127" s="44"/>
      <c r="I127" s="45"/>
    </row>
    <row r="128" spans="2:9">
      <c r="B128" s="40"/>
      <c r="C128" s="40"/>
      <c r="D128" s="40"/>
      <c r="E128" s="41"/>
      <c r="G128" s="43"/>
      <c r="H128" s="44"/>
      <c r="I128" s="45"/>
    </row>
    <row r="129" spans="2:9">
      <c r="B129" s="40"/>
      <c r="C129" s="40"/>
      <c r="D129" s="40"/>
      <c r="E129" s="41"/>
      <c r="G129" s="43"/>
      <c r="H129" s="44"/>
      <c r="I129" s="45"/>
    </row>
    <row r="130" spans="2:9">
      <c r="B130" s="40"/>
      <c r="C130" s="40"/>
      <c r="D130" s="40"/>
      <c r="E130" s="41"/>
      <c r="G130" s="43"/>
      <c r="H130" s="44"/>
      <c r="I130" s="45"/>
    </row>
    <row r="131" spans="2:9">
      <c r="B131" s="40"/>
      <c r="C131" s="40"/>
      <c r="D131" s="40"/>
      <c r="E131" s="41"/>
      <c r="G131" s="43"/>
      <c r="H131" s="44"/>
      <c r="I131" s="45"/>
    </row>
    <row r="132" spans="2:9">
      <c r="B132" s="40"/>
      <c r="C132" s="40"/>
      <c r="D132" s="40"/>
      <c r="E132" s="41"/>
      <c r="G132" s="43"/>
      <c r="H132" s="44"/>
      <c r="I132" s="45"/>
    </row>
    <row r="133" spans="2:9">
      <c r="B133" s="40"/>
      <c r="C133" s="40"/>
      <c r="D133" s="40"/>
      <c r="E133" s="41"/>
      <c r="G133" s="43"/>
      <c r="H133" s="44"/>
      <c r="I133" s="45"/>
    </row>
    <row r="134" spans="2:9">
      <c r="B134" s="40"/>
      <c r="C134" s="40"/>
      <c r="D134" s="40"/>
      <c r="E134" s="41"/>
      <c r="G134" s="43"/>
      <c r="H134" s="44"/>
      <c r="I134" s="45"/>
    </row>
    <row r="135" spans="2:9">
      <c r="B135" s="40"/>
      <c r="C135" s="40"/>
      <c r="D135" s="40"/>
      <c r="E135" s="41"/>
      <c r="G135" s="43"/>
      <c r="H135" s="44"/>
      <c r="I135" s="45"/>
    </row>
    <row r="136" spans="2:9">
      <c r="B136" s="40"/>
      <c r="C136" s="40"/>
      <c r="D136" s="40"/>
      <c r="E136" s="41"/>
      <c r="G136" s="43"/>
      <c r="H136" s="44"/>
      <c r="I136" s="45"/>
    </row>
    <row r="137" spans="2:9">
      <c r="B137" s="40"/>
      <c r="C137" s="40"/>
      <c r="D137" s="40"/>
      <c r="E137" s="41"/>
      <c r="G137" s="43"/>
      <c r="H137" s="44"/>
      <c r="I137" s="45"/>
    </row>
    <row r="138" spans="2:9">
      <c r="B138" s="40"/>
      <c r="C138" s="40"/>
      <c r="D138" s="40"/>
      <c r="E138" s="41"/>
      <c r="G138" s="43"/>
      <c r="H138" s="44"/>
      <c r="I138" s="45"/>
    </row>
    <row r="139" spans="2:9">
      <c r="B139" s="40"/>
      <c r="C139" s="40"/>
      <c r="D139" s="40"/>
      <c r="E139" s="41"/>
      <c r="G139" s="43"/>
      <c r="H139" s="44"/>
      <c r="I139" s="45"/>
    </row>
    <row r="140" spans="2:9">
      <c r="B140" s="40"/>
      <c r="C140" s="40"/>
      <c r="D140" s="40"/>
      <c r="E140" s="41"/>
      <c r="G140" s="43"/>
      <c r="H140" s="44"/>
      <c r="I140" s="45"/>
    </row>
  </sheetData>
  <mergeCells count="16">
    <mergeCell ref="A11:D11"/>
    <mergeCell ref="E13:G13"/>
    <mergeCell ref="H13:J13"/>
    <mergeCell ref="K13:M13"/>
    <mergeCell ref="A31:D31"/>
    <mergeCell ref="A71:D71"/>
    <mergeCell ref="E73:G73"/>
    <mergeCell ref="H73:J73"/>
    <mergeCell ref="K73:M73"/>
    <mergeCell ref="E33:G33"/>
    <mergeCell ref="H33:J33"/>
    <mergeCell ref="K33:M33"/>
    <mergeCell ref="A51:D51"/>
    <mergeCell ref="E53:G53"/>
    <mergeCell ref="H53:J53"/>
    <mergeCell ref="K53:M53"/>
  </mergeCells>
  <conditionalFormatting sqref="R1:X1 D3 A1:P1">
    <cfRule type="cellIs" dxfId="2" priority="1" stopIfTrue="1" operator="lessThan">
      <formula>0</formula>
    </cfRule>
  </conditionalFormatting>
  <pageMargins left="0.19685039370078741" right="0.19685039370078741" top="0.59055118110236227" bottom="0.59055118110236227" header="0.31496062992125984" footer="0.31496062992125984"/>
  <pageSetup paperSize="9" scale="71" fitToHeight="0" orientation="landscape" r:id="rId1"/>
  <headerFooter alignWithMargins="0">
    <oddFooter>&amp;R&amp;8stránka&amp;P / &amp;N</oddFooter>
  </headerFooter>
  <rowBreaks count="2" manualBreakCount="2">
    <brk id="30" max="12" man="1"/>
    <brk id="66" max="12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541E5E-A73A-4E79-A2C7-DE0544075E0E}">
  <sheetPr>
    <pageSetUpPr fitToPage="1"/>
  </sheetPr>
  <dimension ref="A1:AA334"/>
  <sheetViews>
    <sheetView view="pageBreakPreview" topLeftCell="A75" zoomScaleNormal="100" zoomScaleSheetLayoutView="100" workbookViewId="0">
      <selection activeCell="G103" sqref="G103"/>
    </sheetView>
  </sheetViews>
  <sheetFormatPr defaultColWidth="9.140625" defaultRowHeight="12"/>
  <cols>
    <col min="1" max="1" width="7.28515625" style="6" customWidth="1"/>
    <col min="2" max="2" width="12" style="6" customWidth="1"/>
    <col min="3" max="3" width="58.140625" style="6" customWidth="1"/>
    <col min="4" max="4" width="6.140625" style="6" customWidth="1"/>
    <col min="5" max="5" width="9.7109375" style="35" customWidth="1"/>
    <col min="6" max="6" width="11.7109375" style="129" customWidth="1"/>
    <col min="7" max="7" width="20.7109375" style="37" customWidth="1"/>
    <col min="8" max="8" width="9.7109375" style="38" customWidth="1"/>
    <col min="9" max="9" width="15.7109375" style="39" customWidth="1"/>
    <col min="10" max="10" width="20.7109375" style="31" customWidth="1"/>
    <col min="11" max="11" width="9.7109375" style="32" customWidth="1"/>
    <col min="12" max="12" width="15.7109375" style="32" customWidth="1"/>
    <col min="13" max="13" width="20.7109375" style="33" customWidth="1"/>
    <col min="14" max="14" width="16.85546875" style="6" customWidth="1"/>
    <col min="15" max="16384" width="9.140625" style="6"/>
  </cols>
  <sheetData>
    <row r="1" spans="1:27" ht="39" customHeight="1">
      <c r="A1" s="3"/>
      <c r="B1" s="3"/>
      <c r="C1" s="3"/>
      <c r="D1" s="3"/>
      <c r="E1" s="4"/>
      <c r="F1" s="3"/>
      <c r="G1" s="5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</row>
    <row r="2" spans="1:27" ht="18" customHeight="1">
      <c r="A2" s="7"/>
      <c r="B2" s="1"/>
      <c r="C2" s="2" t="s">
        <v>2</v>
      </c>
      <c r="D2" s="137" t="s">
        <v>28</v>
      </c>
      <c r="E2" s="7"/>
      <c r="F2" s="8"/>
      <c r="G2" s="9"/>
      <c r="H2" s="10"/>
      <c r="I2" s="10"/>
      <c r="J2" s="10"/>
      <c r="K2" s="11"/>
      <c r="L2" s="11"/>
      <c r="M2" s="11"/>
      <c r="N2" s="11" t="s">
        <v>316</v>
      </c>
      <c r="O2" s="10"/>
      <c r="P2" s="11"/>
      <c r="Q2" s="168" t="s">
        <v>332</v>
      </c>
      <c r="R2" s="11"/>
      <c r="S2" s="10"/>
      <c r="T2" s="11"/>
      <c r="U2" s="10"/>
      <c r="V2" s="11"/>
      <c r="W2" s="10"/>
      <c r="X2" s="12"/>
      <c r="Y2" s="13"/>
      <c r="Z2" s="14"/>
      <c r="AA2" s="15"/>
    </row>
    <row r="3" spans="1:27" ht="18" customHeight="1">
      <c r="A3" s="7"/>
      <c r="B3" s="1"/>
      <c r="C3" s="2" t="s">
        <v>3</v>
      </c>
      <c r="D3" s="137" t="s">
        <v>29</v>
      </c>
      <c r="E3" s="7"/>
      <c r="F3" s="8"/>
      <c r="G3" s="9"/>
      <c r="H3" s="10"/>
      <c r="I3" s="10"/>
      <c r="J3" s="10"/>
      <c r="K3" s="11"/>
      <c r="L3" s="11"/>
      <c r="M3" s="11"/>
      <c r="N3" s="11"/>
      <c r="O3" s="10"/>
      <c r="P3" s="11"/>
      <c r="Q3" s="10"/>
      <c r="R3" s="11"/>
      <c r="S3" s="10"/>
      <c r="T3" s="11"/>
      <c r="U3" s="10"/>
      <c r="V3" s="11"/>
      <c r="W3" s="10"/>
      <c r="X3" s="12"/>
      <c r="Y3" s="13"/>
      <c r="Z3" s="14"/>
      <c r="AA3" s="15"/>
    </row>
    <row r="4" spans="1:27" ht="18" customHeight="1">
      <c r="A4" s="7"/>
      <c r="B4" s="1"/>
      <c r="C4" s="16" t="s">
        <v>4</v>
      </c>
      <c r="D4" s="161" t="str">
        <f>Rekapitulace!C6</f>
        <v xml:space="preserve">VRI/SOD/2020/12/Ži </v>
      </c>
      <c r="E4" s="7"/>
      <c r="F4" s="8"/>
      <c r="G4" s="9"/>
      <c r="H4" s="10"/>
      <c r="I4" s="10"/>
      <c r="J4" s="10"/>
      <c r="K4" s="11"/>
      <c r="L4" s="11"/>
      <c r="M4" s="11"/>
      <c r="N4" s="11"/>
      <c r="O4" s="10"/>
      <c r="P4" s="11"/>
      <c r="Q4" s="10"/>
      <c r="R4" s="11"/>
      <c r="S4" s="10"/>
      <c r="T4" s="11"/>
      <c r="U4" s="10"/>
      <c r="V4" s="11"/>
      <c r="W4" s="10"/>
      <c r="X4" s="12"/>
      <c r="Y4" s="13"/>
      <c r="Z4" s="14"/>
      <c r="AA4" s="15"/>
    </row>
    <row r="5" spans="1:27" ht="18" customHeight="1">
      <c r="A5" s="1"/>
      <c r="B5" s="1"/>
      <c r="C5" s="16" t="s">
        <v>5</v>
      </c>
      <c r="D5" s="161" t="str">
        <f>Rekapitulace!C7</f>
        <v>VCES-6003</v>
      </c>
      <c r="E5" s="1"/>
      <c r="F5" s="17"/>
      <c r="G5" s="9"/>
      <c r="H5" s="18"/>
      <c r="I5" s="18"/>
      <c r="J5" s="18"/>
      <c r="K5" s="19"/>
      <c r="L5" s="19"/>
      <c r="M5" s="19"/>
      <c r="N5" s="19"/>
      <c r="O5" s="18"/>
      <c r="P5" s="19"/>
      <c r="Q5" s="18"/>
      <c r="R5" s="19"/>
      <c r="S5" s="18"/>
      <c r="T5" s="19"/>
      <c r="U5" s="18"/>
      <c r="V5" s="19"/>
      <c r="W5" s="18"/>
      <c r="X5" s="20"/>
      <c r="Y5" s="21"/>
      <c r="Z5" s="22"/>
      <c r="AA5" s="23"/>
    </row>
    <row r="6" spans="1:27" ht="18" customHeight="1">
      <c r="A6" s="1"/>
      <c r="B6" s="1"/>
      <c r="C6" s="2" t="s">
        <v>6</v>
      </c>
      <c r="D6" s="161" t="str">
        <f>Rekapitulace!C8</f>
        <v>Vodovody a kanalizace Mladá Boleslav a.s.</v>
      </c>
      <c r="E6" s="1"/>
      <c r="F6" s="17"/>
      <c r="G6" s="9"/>
      <c r="H6" s="18"/>
      <c r="I6" s="18"/>
      <c r="J6" s="18"/>
      <c r="K6" s="19"/>
      <c r="L6" s="19"/>
      <c r="M6" s="19"/>
      <c r="N6" s="19"/>
      <c r="O6" s="18"/>
      <c r="P6" s="19"/>
      <c r="Q6" s="18"/>
      <c r="R6" s="19"/>
      <c r="S6" s="18"/>
      <c r="T6" s="19"/>
      <c r="U6" s="18"/>
      <c r="V6" s="19"/>
      <c r="W6" s="18"/>
      <c r="X6" s="20"/>
      <c r="Y6" s="21"/>
      <c r="Z6" s="22"/>
      <c r="AA6" s="23"/>
    </row>
    <row r="7" spans="1:27" ht="18" customHeight="1">
      <c r="A7" s="1"/>
      <c r="B7" s="1"/>
      <c r="C7" s="2" t="s">
        <v>7</v>
      </c>
      <c r="D7" s="162" t="str">
        <f>Rekapitulace!C9</f>
        <v>VCES a.s.</v>
      </c>
      <c r="E7" s="1"/>
      <c r="F7" s="17"/>
      <c r="G7" s="9"/>
      <c r="H7" s="18"/>
      <c r="I7" s="18"/>
      <c r="J7" s="18"/>
      <c r="K7" s="19"/>
      <c r="L7" s="19"/>
      <c r="M7" s="19"/>
      <c r="N7" s="19"/>
      <c r="O7" s="18"/>
      <c r="P7" s="19"/>
      <c r="Q7" s="18"/>
      <c r="R7" s="19"/>
      <c r="S7" s="18"/>
      <c r="T7" s="19"/>
      <c r="U7" s="18"/>
      <c r="V7" s="19"/>
      <c r="W7" s="18"/>
      <c r="X7" s="20"/>
      <c r="Y7" s="21"/>
      <c r="Z7" s="22"/>
      <c r="AA7" s="23"/>
    </row>
    <row r="8" spans="1:27" ht="18" customHeight="1">
      <c r="B8" s="24"/>
      <c r="C8" s="25"/>
      <c r="D8" s="26"/>
      <c r="E8" s="27"/>
      <c r="F8" s="27"/>
      <c r="G8" s="28"/>
      <c r="H8" s="29"/>
      <c r="I8" s="30"/>
    </row>
    <row r="9" spans="1:27" ht="18" customHeight="1">
      <c r="B9" s="34" t="s">
        <v>106</v>
      </c>
      <c r="C9" s="35"/>
      <c r="F9" s="36"/>
    </row>
    <row r="10" spans="1:27" ht="18" customHeight="1">
      <c r="B10" s="40"/>
      <c r="C10" s="40"/>
      <c r="D10" s="40"/>
      <c r="E10" s="41"/>
      <c r="F10" s="42"/>
      <c r="G10" s="43"/>
      <c r="H10" s="44"/>
      <c r="I10" s="45"/>
    </row>
    <row r="11" spans="1:27" ht="18" customHeight="1">
      <c r="A11" s="196" t="s">
        <v>30</v>
      </c>
      <c r="B11" s="197"/>
      <c r="C11" s="197"/>
      <c r="D11" s="197"/>
      <c r="E11" s="41"/>
      <c r="F11" s="42"/>
      <c r="G11" s="43"/>
      <c r="H11" s="44"/>
      <c r="I11" s="45"/>
    </row>
    <row r="12" spans="1:27" ht="18" customHeight="1">
      <c r="B12" s="40"/>
      <c r="C12" s="40"/>
      <c r="D12" s="40"/>
      <c r="E12" s="41"/>
      <c r="F12" s="42"/>
      <c r="G12" s="43"/>
      <c r="H12" s="44"/>
      <c r="I12" s="45"/>
    </row>
    <row r="13" spans="1:27" ht="24.95" customHeight="1">
      <c r="A13" s="46" t="s">
        <v>249</v>
      </c>
      <c r="B13" s="47" t="s">
        <v>248</v>
      </c>
      <c r="C13" s="40"/>
      <c r="D13" s="40"/>
      <c r="E13" s="198" t="s">
        <v>1</v>
      </c>
      <c r="F13" s="198"/>
      <c r="G13" s="198"/>
      <c r="H13" s="199" t="s">
        <v>10</v>
      </c>
      <c r="I13" s="199"/>
      <c r="J13" s="199"/>
      <c r="K13" s="200" t="s">
        <v>11</v>
      </c>
      <c r="L13" s="200"/>
      <c r="M13" s="200"/>
      <c r="N13" s="167" t="s">
        <v>320</v>
      </c>
    </row>
    <row r="14" spans="1:27" s="59" customFormat="1" ht="24" customHeight="1">
      <c r="A14" s="48" t="s">
        <v>12</v>
      </c>
      <c r="B14" s="134" t="s">
        <v>13</v>
      </c>
      <c r="C14" s="48" t="s">
        <v>13</v>
      </c>
      <c r="D14" s="134" t="s">
        <v>14</v>
      </c>
      <c r="E14" s="135" t="s">
        <v>15</v>
      </c>
      <c r="F14" s="136" t="s">
        <v>16</v>
      </c>
      <c r="G14" s="52" t="s">
        <v>17</v>
      </c>
      <c r="H14" s="53" t="s">
        <v>15</v>
      </c>
      <c r="I14" s="54" t="s">
        <v>18</v>
      </c>
      <c r="J14" s="55" t="s">
        <v>17</v>
      </c>
      <c r="K14" s="56" t="s">
        <v>15</v>
      </c>
      <c r="L14" s="57" t="s">
        <v>18</v>
      </c>
      <c r="M14" s="58" t="s">
        <v>19</v>
      </c>
      <c r="N14" s="167" t="s">
        <v>321</v>
      </c>
      <c r="Q14" s="169" t="s">
        <v>323</v>
      </c>
    </row>
    <row r="15" spans="1:27" s="59" customFormat="1" ht="24" customHeight="1">
      <c r="A15" s="60" t="s">
        <v>32</v>
      </c>
      <c r="B15" s="61" t="s">
        <v>33</v>
      </c>
      <c r="C15" s="62"/>
      <c r="D15" s="62"/>
      <c r="E15" s="62"/>
      <c r="F15" s="63"/>
      <c r="G15" s="64"/>
      <c r="H15" s="65"/>
      <c r="I15" s="65"/>
      <c r="J15" s="65"/>
      <c r="K15" s="64"/>
      <c r="L15" s="64"/>
      <c r="M15" s="64"/>
      <c r="N15" s="167" t="s">
        <v>322</v>
      </c>
      <c r="Q15" s="169"/>
    </row>
    <row r="16" spans="1:27" s="79" customFormat="1" ht="21.95" customHeight="1">
      <c r="A16" s="66" t="s">
        <v>122</v>
      </c>
      <c r="B16" s="67" t="s">
        <v>123</v>
      </c>
      <c r="C16" s="68" t="s">
        <v>177</v>
      </c>
      <c r="D16" s="69" t="s">
        <v>36</v>
      </c>
      <c r="E16" s="70">
        <v>626.4</v>
      </c>
      <c r="F16" s="71">
        <v>40.770000000000003</v>
      </c>
      <c r="G16" s="151">
        <f t="shared" ref="G16:G58" si="0">ROUND(ROUND(F16,1)*ROUND(E16,1),1)</f>
        <v>25557.1</v>
      </c>
      <c r="H16" s="73">
        <v>-0.55000000000000004</v>
      </c>
      <c r="I16" s="74">
        <f>F16</f>
        <v>40.770000000000003</v>
      </c>
      <c r="J16" s="75">
        <f>+M16-G16</f>
        <v>-20.399999999997817</v>
      </c>
      <c r="K16" s="76">
        <f>E16+H16</f>
        <v>625.85</v>
      </c>
      <c r="L16" s="77">
        <f t="shared" ref="L16:L37" si="1">+I16</f>
        <v>40.770000000000003</v>
      </c>
      <c r="M16" s="78">
        <f t="shared" ref="M16:M58" si="2">ROUND(ROUND(L16,1)*ROUND(K16,1),1)</f>
        <v>25536.7</v>
      </c>
    </row>
    <row r="17" spans="1:17" s="79" customFormat="1" ht="21.95" customHeight="1">
      <c r="A17" s="66" t="s">
        <v>124</v>
      </c>
      <c r="B17" s="67" t="s">
        <v>125</v>
      </c>
      <c r="C17" s="68" t="s">
        <v>178</v>
      </c>
      <c r="D17" s="69" t="s">
        <v>36</v>
      </c>
      <c r="E17" s="70">
        <v>626.4</v>
      </c>
      <c r="F17" s="71">
        <v>77.599999999999994</v>
      </c>
      <c r="G17" s="151">
        <f t="shared" si="0"/>
        <v>48608.6</v>
      </c>
      <c r="H17" s="73">
        <v>-0.55000000000000004</v>
      </c>
      <c r="I17" s="74">
        <f t="shared" ref="I17:I58" si="3">F17</f>
        <v>77.599999999999994</v>
      </c>
      <c r="J17" s="75">
        <f t="shared" ref="J17:J58" si="4">+M17-G17</f>
        <v>-38.799999999995634</v>
      </c>
      <c r="K17" s="76">
        <f t="shared" ref="K17:K58" si="5">E17+H17</f>
        <v>625.85</v>
      </c>
      <c r="L17" s="77">
        <f t="shared" si="1"/>
        <v>77.599999999999994</v>
      </c>
      <c r="M17" s="78">
        <f t="shared" si="2"/>
        <v>48569.8</v>
      </c>
      <c r="Q17" s="171" t="s">
        <v>326</v>
      </c>
    </row>
    <row r="18" spans="1:17" s="79" customFormat="1" ht="21.95" customHeight="1">
      <c r="A18" s="66" t="s">
        <v>134</v>
      </c>
      <c r="B18" s="67" t="s">
        <v>135</v>
      </c>
      <c r="C18" s="68" t="s">
        <v>181</v>
      </c>
      <c r="D18" s="69" t="s">
        <v>180</v>
      </c>
      <c r="E18" s="70">
        <v>1203.0999999999999</v>
      </c>
      <c r="F18" s="71">
        <v>257.77999999999997</v>
      </c>
      <c r="G18" s="151">
        <f t="shared" si="0"/>
        <v>310159.2</v>
      </c>
      <c r="H18" s="73">
        <f>-(1.375*0.35)</f>
        <v>-0.48124999999999996</v>
      </c>
      <c r="I18" s="74">
        <f t="shared" si="3"/>
        <v>257.77999999999997</v>
      </c>
      <c r="J18" s="75">
        <f t="shared" si="4"/>
        <v>-128.90000000002328</v>
      </c>
      <c r="K18" s="76">
        <f t="shared" si="5"/>
        <v>1202.6187499999999</v>
      </c>
      <c r="L18" s="77">
        <f t="shared" si="1"/>
        <v>257.77999999999997</v>
      </c>
      <c r="M18" s="78">
        <f t="shared" si="2"/>
        <v>310030.3</v>
      </c>
    </row>
    <row r="19" spans="1:17" s="79" customFormat="1" ht="21.95" customHeight="1">
      <c r="A19" s="66" t="s">
        <v>136</v>
      </c>
      <c r="B19" s="67" t="s">
        <v>137</v>
      </c>
      <c r="C19" s="68" t="s">
        <v>182</v>
      </c>
      <c r="D19" s="69" t="s">
        <v>180</v>
      </c>
      <c r="E19" s="70">
        <v>1962.7</v>
      </c>
      <c r="F19" s="71">
        <v>13.15</v>
      </c>
      <c r="G19" s="151">
        <f t="shared" si="0"/>
        <v>25907.599999999999</v>
      </c>
      <c r="H19" s="73">
        <f>-(1.375*0.35)</f>
        <v>-0.48124999999999996</v>
      </c>
      <c r="I19" s="74">
        <f t="shared" si="3"/>
        <v>13.15</v>
      </c>
      <c r="J19" s="75">
        <f t="shared" si="4"/>
        <v>-6.5999999999985448</v>
      </c>
      <c r="K19" s="76">
        <f t="shared" si="5"/>
        <v>1962.21875</v>
      </c>
      <c r="L19" s="77">
        <f t="shared" si="1"/>
        <v>13.15</v>
      </c>
      <c r="M19" s="78">
        <f t="shared" si="2"/>
        <v>25901</v>
      </c>
    </row>
    <row r="20" spans="1:17" s="79" customFormat="1" ht="21.95" customHeight="1">
      <c r="A20" s="66" t="s">
        <v>138</v>
      </c>
      <c r="B20" s="67" t="s">
        <v>139</v>
      </c>
      <c r="C20" s="68" t="s">
        <v>183</v>
      </c>
      <c r="D20" s="69" t="s">
        <v>180</v>
      </c>
      <c r="E20" s="70">
        <v>822.8</v>
      </c>
      <c r="F20" s="71">
        <v>315.64999999999998</v>
      </c>
      <c r="G20" s="151">
        <f t="shared" si="0"/>
        <v>259758</v>
      </c>
      <c r="H20" s="73">
        <f>-(1.375*0.25)</f>
        <v>-0.34375</v>
      </c>
      <c r="I20" s="74">
        <f t="shared" si="3"/>
        <v>315.64999999999998</v>
      </c>
      <c r="J20" s="75">
        <f t="shared" si="4"/>
        <v>-94.700000000011642</v>
      </c>
      <c r="K20" s="76">
        <f t="shared" si="5"/>
        <v>822.45624999999995</v>
      </c>
      <c r="L20" s="77">
        <f t="shared" si="1"/>
        <v>315.64999999999998</v>
      </c>
      <c r="M20" s="78">
        <f t="shared" si="2"/>
        <v>259663.3</v>
      </c>
    </row>
    <row r="21" spans="1:17" s="79" customFormat="1" ht="21.95" customHeight="1">
      <c r="A21" s="66" t="s">
        <v>140</v>
      </c>
      <c r="B21" s="67" t="s">
        <v>141</v>
      </c>
      <c r="C21" s="68" t="s">
        <v>184</v>
      </c>
      <c r="D21" s="69" t="s">
        <v>180</v>
      </c>
      <c r="E21" s="70">
        <v>822.8</v>
      </c>
      <c r="F21" s="71">
        <v>15.78</v>
      </c>
      <c r="G21" s="151">
        <f t="shared" si="0"/>
        <v>13000.2</v>
      </c>
      <c r="H21" s="73">
        <f>-(1.375*0.25)</f>
        <v>-0.34375</v>
      </c>
      <c r="I21" s="74">
        <f t="shared" si="3"/>
        <v>15.78</v>
      </c>
      <c r="J21" s="75">
        <f t="shared" si="4"/>
        <v>-4.7000000000007276</v>
      </c>
      <c r="K21" s="76">
        <f t="shared" si="5"/>
        <v>822.45624999999995</v>
      </c>
      <c r="L21" s="77">
        <f t="shared" si="1"/>
        <v>15.78</v>
      </c>
      <c r="M21" s="78">
        <f t="shared" si="2"/>
        <v>12995.5</v>
      </c>
    </row>
    <row r="22" spans="1:17" s="79" customFormat="1" ht="21.95" customHeight="1">
      <c r="A22" s="66" t="s">
        <v>142</v>
      </c>
      <c r="B22" s="67" t="s">
        <v>143</v>
      </c>
      <c r="C22" s="68" t="s">
        <v>185</v>
      </c>
      <c r="D22" s="69" t="s">
        <v>180</v>
      </c>
      <c r="E22" s="70">
        <v>113.6</v>
      </c>
      <c r="F22" s="71">
        <v>1569.06</v>
      </c>
      <c r="G22" s="151">
        <f t="shared" si="0"/>
        <v>178249.8</v>
      </c>
      <c r="H22" s="73">
        <f>-(1.375*0.05)</f>
        <v>-6.8750000000000006E-2</v>
      </c>
      <c r="I22" s="74">
        <f t="shared" si="3"/>
        <v>1569.06</v>
      </c>
      <c r="J22" s="75">
        <f t="shared" si="4"/>
        <v>-156.89999999999418</v>
      </c>
      <c r="K22" s="76">
        <f t="shared" si="5"/>
        <v>113.53125</v>
      </c>
      <c r="L22" s="77">
        <f t="shared" si="1"/>
        <v>1569.06</v>
      </c>
      <c r="M22" s="78">
        <f t="shared" si="2"/>
        <v>178092.9</v>
      </c>
    </row>
    <row r="23" spans="1:17" s="79" customFormat="1" ht="21.95" customHeight="1">
      <c r="A23" s="66" t="s">
        <v>144</v>
      </c>
      <c r="B23" s="67" t="s">
        <v>145</v>
      </c>
      <c r="C23" s="68" t="s">
        <v>186</v>
      </c>
      <c r="D23" s="69" t="s">
        <v>180</v>
      </c>
      <c r="E23" s="70">
        <v>1071.3</v>
      </c>
      <c r="F23" s="71">
        <v>2149.0700000000002</v>
      </c>
      <c r="G23" s="151">
        <f t="shared" si="0"/>
        <v>2302330.7999999998</v>
      </c>
      <c r="H23" s="73">
        <f>-(1.375*0.35)</f>
        <v>-0.48124999999999996</v>
      </c>
      <c r="I23" s="74">
        <f t="shared" si="3"/>
        <v>2149.0700000000002</v>
      </c>
      <c r="J23" s="75">
        <f t="shared" si="4"/>
        <v>-1074.5</v>
      </c>
      <c r="K23" s="76">
        <f t="shared" si="5"/>
        <v>1070.8187499999999</v>
      </c>
      <c r="L23" s="77">
        <f t="shared" si="1"/>
        <v>2149.0700000000002</v>
      </c>
      <c r="M23" s="78">
        <f t="shared" si="2"/>
        <v>2301256.2999999998</v>
      </c>
    </row>
    <row r="24" spans="1:17" s="79" customFormat="1" ht="21.95" customHeight="1">
      <c r="A24" s="66" t="s">
        <v>147</v>
      </c>
      <c r="B24" s="67" t="s">
        <v>148</v>
      </c>
      <c r="C24" s="68" t="s">
        <v>187</v>
      </c>
      <c r="D24" s="69" t="s">
        <v>36</v>
      </c>
      <c r="E24" s="70">
        <v>6139</v>
      </c>
      <c r="F24" s="71">
        <v>99.96</v>
      </c>
      <c r="G24" s="151">
        <f t="shared" si="0"/>
        <v>613900</v>
      </c>
      <c r="H24" s="73">
        <f>-(0.5*2*2.9)</f>
        <v>-2.9</v>
      </c>
      <c r="I24" s="74">
        <f t="shared" si="3"/>
        <v>99.96</v>
      </c>
      <c r="J24" s="75">
        <f t="shared" si="4"/>
        <v>-290</v>
      </c>
      <c r="K24" s="76">
        <f t="shared" si="5"/>
        <v>6136.1</v>
      </c>
      <c r="L24" s="77">
        <f t="shared" si="1"/>
        <v>99.96</v>
      </c>
      <c r="M24" s="78">
        <f t="shared" si="2"/>
        <v>613610</v>
      </c>
    </row>
    <row r="25" spans="1:17" s="79" customFormat="1" ht="21.95" customHeight="1">
      <c r="A25" s="66" t="s">
        <v>149</v>
      </c>
      <c r="B25" s="67" t="s">
        <v>150</v>
      </c>
      <c r="C25" s="68" t="s">
        <v>188</v>
      </c>
      <c r="D25" s="69" t="s">
        <v>36</v>
      </c>
      <c r="E25" s="70">
        <v>6139</v>
      </c>
      <c r="F25" s="71">
        <v>149.94</v>
      </c>
      <c r="G25" s="151">
        <f t="shared" si="0"/>
        <v>920236.1</v>
      </c>
      <c r="H25" s="73">
        <f>-(0.5*2*2.9)</f>
        <v>-2.9</v>
      </c>
      <c r="I25" s="74">
        <f t="shared" si="3"/>
        <v>149.94</v>
      </c>
      <c r="J25" s="75">
        <f t="shared" si="4"/>
        <v>-434.69999999995343</v>
      </c>
      <c r="K25" s="76">
        <f t="shared" si="5"/>
        <v>6136.1</v>
      </c>
      <c r="L25" s="77">
        <f t="shared" si="1"/>
        <v>149.94</v>
      </c>
      <c r="M25" s="78">
        <f t="shared" si="2"/>
        <v>919801.4</v>
      </c>
    </row>
    <row r="26" spans="1:17" s="79" customFormat="1" ht="21.95" customHeight="1">
      <c r="A26" s="66" t="s">
        <v>151</v>
      </c>
      <c r="B26" s="67" t="s">
        <v>152</v>
      </c>
      <c r="C26" s="68" t="s">
        <v>189</v>
      </c>
      <c r="D26" s="69" t="s">
        <v>180</v>
      </c>
      <c r="E26" s="70">
        <v>2277.1</v>
      </c>
      <c r="F26" s="71">
        <v>13.15</v>
      </c>
      <c r="G26" s="151">
        <f t="shared" si="0"/>
        <v>30057.7</v>
      </c>
      <c r="H26" s="73">
        <f>H18+H20</f>
        <v>-0.82499999999999996</v>
      </c>
      <c r="I26" s="74">
        <f t="shared" si="3"/>
        <v>13.15</v>
      </c>
      <c r="J26" s="75">
        <f t="shared" si="4"/>
        <v>-10.5</v>
      </c>
      <c r="K26" s="76">
        <f t="shared" si="5"/>
        <v>2276.2750000000001</v>
      </c>
      <c r="L26" s="77">
        <f t="shared" si="1"/>
        <v>13.15</v>
      </c>
      <c r="M26" s="78">
        <f t="shared" si="2"/>
        <v>30047.200000000001</v>
      </c>
    </row>
    <row r="27" spans="1:17" s="79" customFormat="1" ht="21.95" customHeight="1">
      <c r="A27" s="66" t="s">
        <v>153</v>
      </c>
      <c r="B27" s="67" t="s">
        <v>154</v>
      </c>
      <c r="C27" s="68" t="s">
        <v>190</v>
      </c>
      <c r="D27" s="69" t="s">
        <v>180</v>
      </c>
      <c r="E27" s="70">
        <v>1222.0999999999999</v>
      </c>
      <c r="F27" s="71">
        <v>19.73</v>
      </c>
      <c r="G27" s="151">
        <f t="shared" si="0"/>
        <v>24075.4</v>
      </c>
      <c r="H27" s="73">
        <f>H22+H23</f>
        <v>-0.54999999999999993</v>
      </c>
      <c r="I27" s="74">
        <f t="shared" si="3"/>
        <v>19.73</v>
      </c>
      <c r="J27" s="75">
        <f t="shared" si="4"/>
        <v>-9.9000000000014552</v>
      </c>
      <c r="K27" s="76">
        <f t="shared" si="5"/>
        <v>1221.55</v>
      </c>
      <c r="L27" s="77">
        <f t="shared" si="1"/>
        <v>19.73</v>
      </c>
      <c r="M27" s="78">
        <f t="shared" si="2"/>
        <v>24065.5</v>
      </c>
    </row>
    <row r="28" spans="1:17" s="79" customFormat="1" ht="21.95" customHeight="1">
      <c r="A28" s="66" t="s">
        <v>155</v>
      </c>
      <c r="B28" s="67" t="s">
        <v>156</v>
      </c>
      <c r="C28" s="68" t="s">
        <v>191</v>
      </c>
      <c r="D28" s="69" t="s">
        <v>180</v>
      </c>
      <c r="E28" s="70">
        <v>2785.5</v>
      </c>
      <c r="F28" s="71">
        <v>44.72</v>
      </c>
      <c r="G28" s="151">
        <f t="shared" si="0"/>
        <v>124511.9</v>
      </c>
      <c r="H28" s="73">
        <f>H26</f>
        <v>-0.82499999999999996</v>
      </c>
      <c r="I28" s="74">
        <f t="shared" si="3"/>
        <v>44.72</v>
      </c>
      <c r="J28" s="75">
        <f t="shared" si="4"/>
        <v>-35.799999999988358</v>
      </c>
      <c r="K28" s="76">
        <f t="shared" si="5"/>
        <v>2784.6750000000002</v>
      </c>
      <c r="L28" s="77">
        <f t="shared" si="1"/>
        <v>44.72</v>
      </c>
      <c r="M28" s="78">
        <f t="shared" si="2"/>
        <v>124476.1</v>
      </c>
    </row>
    <row r="29" spans="1:17" s="79" customFormat="1" ht="21.95" customHeight="1">
      <c r="A29" s="66" t="s">
        <v>69</v>
      </c>
      <c r="B29" s="67" t="s">
        <v>157</v>
      </c>
      <c r="C29" s="68" t="s">
        <v>192</v>
      </c>
      <c r="D29" s="69" t="s">
        <v>180</v>
      </c>
      <c r="E29" s="70">
        <v>1097.0999999999999</v>
      </c>
      <c r="F29" s="71">
        <v>51.29</v>
      </c>
      <c r="G29" s="151">
        <f t="shared" si="0"/>
        <v>56281.2</v>
      </c>
      <c r="H29" s="73">
        <f>H27</f>
        <v>-0.54999999999999993</v>
      </c>
      <c r="I29" s="74">
        <f t="shared" si="3"/>
        <v>51.29</v>
      </c>
      <c r="J29" s="75">
        <f t="shared" si="4"/>
        <v>-25.599999999998545</v>
      </c>
      <c r="K29" s="76">
        <f t="shared" si="5"/>
        <v>1096.55</v>
      </c>
      <c r="L29" s="77">
        <f t="shared" si="1"/>
        <v>51.29</v>
      </c>
      <c r="M29" s="78">
        <f t="shared" si="2"/>
        <v>56255.6</v>
      </c>
    </row>
    <row r="30" spans="1:17" s="79" customFormat="1" ht="21.95" customHeight="1">
      <c r="A30" s="66" t="s">
        <v>158</v>
      </c>
      <c r="B30" s="67" t="s">
        <v>159</v>
      </c>
      <c r="C30" s="68" t="s">
        <v>193</v>
      </c>
      <c r="D30" s="69" t="s">
        <v>180</v>
      </c>
      <c r="E30" s="70">
        <v>4318.5</v>
      </c>
      <c r="F30" s="71">
        <v>11.84</v>
      </c>
      <c r="G30" s="151">
        <f t="shared" si="0"/>
        <v>50958.3</v>
      </c>
      <c r="H30" s="73">
        <f>(H26+H27)</f>
        <v>-1.375</v>
      </c>
      <c r="I30" s="74">
        <f t="shared" si="3"/>
        <v>11.84</v>
      </c>
      <c r="J30" s="75">
        <f t="shared" si="4"/>
        <v>-16.5</v>
      </c>
      <c r="K30" s="76">
        <f t="shared" si="5"/>
        <v>4317.125</v>
      </c>
      <c r="L30" s="77">
        <f t="shared" si="1"/>
        <v>11.84</v>
      </c>
      <c r="M30" s="78">
        <f t="shared" si="2"/>
        <v>50941.8</v>
      </c>
    </row>
    <row r="31" spans="1:17" s="79" customFormat="1" ht="21.95" customHeight="1">
      <c r="A31" s="66" t="s">
        <v>160</v>
      </c>
      <c r="B31" s="67" t="s">
        <v>159</v>
      </c>
      <c r="C31" s="68" t="s">
        <v>193</v>
      </c>
      <c r="D31" s="69" t="s">
        <v>180</v>
      </c>
      <c r="E31" s="70">
        <v>1408</v>
      </c>
      <c r="F31" s="71">
        <v>11.84</v>
      </c>
      <c r="G31" s="151">
        <f t="shared" si="0"/>
        <v>16614.400000000001</v>
      </c>
      <c r="H31" s="73">
        <f>H34+H42</f>
        <v>-0.25</v>
      </c>
      <c r="I31" s="74">
        <f t="shared" si="3"/>
        <v>11.84</v>
      </c>
      <c r="J31" s="75">
        <f t="shared" si="4"/>
        <v>-2.4000000000014552</v>
      </c>
      <c r="K31" s="76">
        <f t="shared" si="5"/>
        <v>1407.75</v>
      </c>
      <c r="L31" s="77">
        <f t="shared" si="1"/>
        <v>11.84</v>
      </c>
      <c r="M31" s="78">
        <f t="shared" si="2"/>
        <v>16612</v>
      </c>
    </row>
    <row r="32" spans="1:17" s="79" customFormat="1" ht="21.95" customHeight="1">
      <c r="A32" s="66" t="s">
        <v>161</v>
      </c>
      <c r="B32" s="67" t="s">
        <v>162</v>
      </c>
      <c r="C32" s="68" t="s">
        <v>194</v>
      </c>
      <c r="D32" s="69" t="s">
        <v>58</v>
      </c>
      <c r="E32" s="70">
        <v>2852.5</v>
      </c>
      <c r="F32" s="71">
        <v>116</v>
      </c>
      <c r="G32" s="151">
        <f t="shared" si="0"/>
        <v>330890</v>
      </c>
      <c r="H32" s="73">
        <f>H31*2</f>
        <v>-0.5</v>
      </c>
      <c r="I32" s="74">
        <f t="shared" si="3"/>
        <v>116</v>
      </c>
      <c r="J32" s="75">
        <f t="shared" si="4"/>
        <v>-58</v>
      </c>
      <c r="K32" s="76">
        <f t="shared" si="5"/>
        <v>2852</v>
      </c>
      <c r="L32" s="77">
        <f t="shared" si="1"/>
        <v>116</v>
      </c>
      <c r="M32" s="78">
        <f t="shared" si="2"/>
        <v>330832</v>
      </c>
    </row>
    <row r="33" spans="1:13" s="79" customFormat="1" ht="21.95" customHeight="1">
      <c r="A33" s="66" t="s">
        <v>163</v>
      </c>
      <c r="B33" s="67" t="s">
        <v>164</v>
      </c>
      <c r="C33" s="68" t="s">
        <v>195</v>
      </c>
      <c r="D33" s="69" t="s">
        <v>180</v>
      </c>
      <c r="E33" s="70">
        <v>2289</v>
      </c>
      <c r="F33" s="71">
        <v>286.72000000000003</v>
      </c>
      <c r="G33" s="151">
        <f t="shared" si="0"/>
        <v>656256.30000000005</v>
      </c>
      <c r="H33" s="73">
        <f>-(1.95*1.1*0.5)</f>
        <v>-1.0725</v>
      </c>
      <c r="I33" s="74">
        <f t="shared" si="3"/>
        <v>286.72000000000003</v>
      </c>
      <c r="J33" s="75">
        <f t="shared" si="4"/>
        <v>-315.40000000002328</v>
      </c>
      <c r="K33" s="76">
        <f t="shared" si="5"/>
        <v>2287.9274999999998</v>
      </c>
      <c r="L33" s="77">
        <f t="shared" si="1"/>
        <v>286.72000000000003</v>
      </c>
      <c r="M33" s="78">
        <f t="shared" si="2"/>
        <v>655940.9</v>
      </c>
    </row>
    <row r="34" spans="1:13" s="79" customFormat="1" ht="21.95" customHeight="1">
      <c r="A34" s="66" t="s">
        <v>165</v>
      </c>
      <c r="B34" s="67" t="s">
        <v>166</v>
      </c>
      <c r="C34" s="68" t="s">
        <v>196</v>
      </c>
      <c r="D34" s="69" t="s">
        <v>180</v>
      </c>
      <c r="E34" s="70">
        <v>561.79999999999995</v>
      </c>
      <c r="F34" s="71">
        <v>318.27999999999997</v>
      </c>
      <c r="G34" s="151">
        <f t="shared" si="0"/>
        <v>178820.9</v>
      </c>
      <c r="H34" s="73">
        <v>-0.16</v>
      </c>
      <c r="I34" s="74">
        <f t="shared" si="3"/>
        <v>318.27999999999997</v>
      </c>
      <c r="J34" s="75">
        <f t="shared" si="4"/>
        <v>-63.600000000005821</v>
      </c>
      <c r="K34" s="76">
        <f t="shared" si="5"/>
        <v>561.64</v>
      </c>
      <c r="L34" s="77">
        <f t="shared" si="1"/>
        <v>318.27999999999997</v>
      </c>
      <c r="M34" s="78">
        <f t="shared" si="2"/>
        <v>178757.3</v>
      </c>
    </row>
    <row r="35" spans="1:13" s="79" customFormat="1" ht="21.95" customHeight="1">
      <c r="A35" s="66" t="s">
        <v>167</v>
      </c>
      <c r="B35" s="67" t="s">
        <v>168</v>
      </c>
      <c r="C35" s="68" t="s">
        <v>197</v>
      </c>
      <c r="D35" s="69" t="s">
        <v>58</v>
      </c>
      <c r="E35" s="70">
        <v>1123.5999999999999</v>
      </c>
      <c r="F35" s="71">
        <v>172.71</v>
      </c>
      <c r="G35" s="151">
        <f t="shared" si="0"/>
        <v>194045.7</v>
      </c>
      <c r="H35" s="73">
        <v>-0.32</v>
      </c>
      <c r="I35" s="74">
        <f t="shared" si="3"/>
        <v>172.71</v>
      </c>
      <c r="J35" s="75">
        <f t="shared" si="4"/>
        <v>-51.800000000017462</v>
      </c>
      <c r="K35" s="76">
        <f t="shared" si="5"/>
        <v>1123.28</v>
      </c>
      <c r="L35" s="77">
        <f t="shared" si="1"/>
        <v>172.71</v>
      </c>
      <c r="M35" s="78">
        <f t="shared" si="2"/>
        <v>193993.9</v>
      </c>
    </row>
    <row r="36" spans="1:13" s="79" customFormat="1" ht="18" customHeight="1">
      <c r="A36" s="66" t="s">
        <v>171</v>
      </c>
      <c r="B36" s="67" t="s">
        <v>172</v>
      </c>
      <c r="C36" s="68" t="s">
        <v>198</v>
      </c>
      <c r="D36" s="69" t="s">
        <v>180</v>
      </c>
      <c r="E36" s="70">
        <v>2785.5</v>
      </c>
      <c r="F36" s="71">
        <v>160.46</v>
      </c>
      <c r="G36" s="151">
        <f t="shared" si="0"/>
        <v>447072.8</v>
      </c>
      <c r="H36" s="73">
        <f>H33*2</f>
        <v>-2.145</v>
      </c>
      <c r="I36" s="74">
        <f t="shared" si="3"/>
        <v>160.46</v>
      </c>
      <c r="J36" s="75">
        <f t="shared" si="4"/>
        <v>-337.09999999997672</v>
      </c>
      <c r="K36" s="76">
        <f t="shared" si="5"/>
        <v>2783.355</v>
      </c>
      <c r="L36" s="77">
        <f t="shared" si="1"/>
        <v>160.46</v>
      </c>
      <c r="M36" s="78">
        <f t="shared" si="2"/>
        <v>446735.7</v>
      </c>
    </row>
    <row r="37" spans="1:13" s="79" customFormat="1" ht="21.95" customHeight="1">
      <c r="A37" s="66" t="s">
        <v>173</v>
      </c>
      <c r="B37" s="67" t="s">
        <v>174</v>
      </c>
      <c r="C37" s="68" t="s">
        <v>199</v>
      </c>
      <c r="D37" s="69" t="s">
        <v>180</v>
      </c>
      <c r="E37" s="70">
        <v>1222.0999999999999</v>
      </c>
      <c r="F37" s="71">
        <v>160.46</v>
      </c>
      <c r="G37" s="151">
        <f t="shared" si="0"/>
        <v>196147.1</v>
      </c>
      <c r="H37" s="73">
        <f>H31</f>
        <v>-0.25</v>
      </c>
      <c r="I37" s="74">
        <f t="shared" si="3"/>
        <v>160.46</v>
      </c>
      <c r="J37" s="75">
        <f t="shared" si="4"/>
        <v>-32.100000000005821</v>
      </c>
      <c r="K37" s="76">
        <f t="shared" si="5"/>
        <v>1221.8499999999999</v>
      </c>
      <c r="L37" s="77">
        <f t="shared" si="1"/>
        <v>160.46</v>
      </c>
      <c r="M37" s="78">
        <f t="shared" si="2"/>
        <v>196115</v>
      </c>
    </row>
    <row r="38" spans="1:13" s="89" customFormat="1" ht="18" customHeight="1">
      <c r="A38" s="60" t="s">
        <v>108</v>
      </c>
      <c r="B38" s="61" t="s">
        <v>200</v>
      </c>
      <c r="C38" s="62"/>
      <c r="D38" s="62"/>
      <c r="E38" s="62"/>
      <c r="F38" s="63"/>
      <c r="G38" s="64"/>
      <c r="H38" s="65"/>
      <c r="I38" s="65"/>
      <c r="J38" s="65"/>
      <c r="K38" s="65"/>
      <c r="L38" s="64"/>
      <c r="M38" s="64"/>
    </row>
    <row r="39" spans="1:13" s="89" customFormat="1" ht="18" customHeight="1">
      <c r="A39" s="66" t="s">
        <v>201</v>
      </c>
      <c r="B39" s="67" t="s">
        <v>202</v>
      </c>
      <c r="C39" s="68" t="s">
        <v>205</v>
      </c>
      <c r="D39" s="69" t="s">
        <v>51</v>
      </c>
      <c r="E39" s="70">
        <v>1189.9000000000001</v>
      </c>
      <c r="F39" s="155">
        <v>32.880000000000003</v>
      </c>
      <c r="G39" s="151">
        <f t="shared" si="0"/>
        <v>39147.699999999997</v>
      </c>
      <c r="H39" s="73">
        <v>-0.5</v>
      </c>
      <c r="I39" s="74">
        <f t="shared" si="3"/>
        <v>32.880000000000003</v>
      </c>
      <c r="J39" s="75">
        <f t="shared" si="4"/>
        <v>-16.399999999994179</v>
      </c>
      <c r="K39" s="76">
        <f t="shared" si="5"/>
        <v>1189.4000000000001</v>
      </c>
      <c r="L39" s="77">
        <f t="shared" ref="L39:L40" si="6">+I39</f>
        <v>32.880000000000003</v>
      </c>
      <c r="M39" s="78">
        <f t="shared" si="2"/>
        <v>39131.300000000003</v>
      </c>
    </row>
    <row r="40" spans="1:13" s="89" customFormat="1" ht="18" customHeight="1">
      <c r="A40" s="66" t="s">
        <v>203</v>
      </c>
      <c r="B40" s="67" t="s">
        <v>204</v>
      </c>
      <c r="C40" s="68" t="s">
        <v>206</v>
      </c>
      <c r="D40" s="69" t="s">
        <v>51</v>
      </c>
      <c r="E40" s="70">
        <v>1189.9000000000001</v>
      </c>
      <c r="F40" s="155">
        <v>6.58</v>
      </c>
      <c r="G40" s="151">
        <f t="shared" si="0"/>
        <v>7853.3</v>
      </c>
      <c r="H40" s="73">
        <v>-0.5</v>
      </c>
      <c r="I40" s="74">
        <f t="shared" si="3"/>
        <v>6.58</v>
      </c>
      <c r="J40" s="75">
        <f t="shared" si="4"/>
        <v>-3.3000000000001819</v>
      </c>
      <c r="K40" s="76">
        <f t="shared" si="5"/>
        <v>1189.4000000000001</v>
      </c>
      <c r="L40" s="77">
        <f t="shared" si="6"/>
        <v>6.58</v>
      </c>
      <c r="M40" s="78">
        <f t="shared" si="2"/>
        <v>7850</v>
      </c>
    </row>
    <row r="41" spans="1:13" s="89" customFormat="1" ht="18" customHeight="1">
      <c r="A41" s="60" t="s">
        <v>109</v>
      </c>
      <c r="B41" s="61" t="s">
        <v>207</v>
      </c>
      <c r="C41" s="62"/>
      <c r="D41" s="62"/>
      <c r="E41" s="62"/>
      <c r="F41" s="63"/>
      <c r="G41" s="64"/>
      <c r="H41" s="65"/>
      <c r="I41" s="65"/>
      <c r="J41" s="65"/>
      <c r="K41" s="65"/>
      <c r="L41" s="64"/>
      <c r="M41" s="64"/>
    </row>
    <row r="42" spans="1:13" s="89" customFormat="1" ht="18" customHeight="1">
      <c r="A42" s="66" t="s">
        <v>210</v>
      </c>
      <c r="B42" s="67" t="s">
        <v>211</v>
      </c>
      <c r="C42" s="68" t="s">
        <v>212</v>
      </c>
      <c r="D42" s="69" t="s">
        <v>180</v>
      </c>
      <c r="E42" s="70">
        <v>153.69999999999999</v>
      </c>
      <c r="F42" s="172">
        <v>3092.45</v>
      </c>
      <c r="G42" s="151">
        <f t="shared" si="0"/>
        <v>475317.3</v>
      </c>
      <c r="H42" s="73">
        <v>-0.09</v>
      </c>
      <c r="I42" s="74">
        <f t="shared" si="3"/>
        <v>3092.45</v>
      </c>
      <c r="J42" s="75">
        <f t="shared" si="4"/>
        <v>-309.29999999998836</v>
      </c>
      <c r="K42" s="76">
        <f t="shared" si="5"/>
        <v>153.60999999999999</v>
      </c>
      <c r="L42" s="77">
        <f t="shared" ref="L42" si="7">+I42</f>
        <v>3092.45</v>
      </c>
      <c r="M42" s="78">
        <f t="shared" si="2"/>
        <v>475008</v>
      </c>
    </row>
    <row r="43" spans="1:13" s="89" customFormat="1" ht="18" customHeight="1">
      <c r="A43" s="60" t="s">
        <v>37</v>
      </c>
      <c r="B43" s="61" t="s">
        <v>38</v>
      </c>
      <c r="C43" s="62"/>
      <c r="D43" s="62"/>
      <c r="E43" s="62"/>
      <c r="F43" s="63"/>
      <c r="G43" s="64"/>
      <c r="H43" s="65"/>
      <c r="I43" s="65"/>
      <c r="J43" s="65"/>
      <c r="K43" s="65"/>
      <c r="L43" s="64"/>
      <c r="M43" s="64"/>
    </row>
    <row r="44" spans="1:13" s="89" customFormat="1" ht="18" customHeight="1">
      <c r="A44" s="66" t="s">
        <v>216</v>
      </c>
      <c r="B44" s="67" t="s">
        <v>217</v>
      </c>
      <c r="C44" s="68" t="s">
        <v>220</v>
      </c>
      <c r="D44" s="69" t="s">
        <v>36</v>
      </c>
      <c r="E44" s="70">
        <v>626.4</v>
      </c>
      <c r="F44" s="172">
        <v>302.54000000000002</v>
      </c>
      <c r="G44" s="151">
        <f t="shared" si="0"/>
        <v>189486</v>
      </c>
      <c r="H44" s="73">
        <v>-1.1000000000000001</v>
      </c>
      <c r="I44" s="74">
        <f t="shared" si="3"/>
        <v>302.54000000000002</v>
      </c>
      <c r="J44" s="75">
        <f t="shared" si="4"/>
        <v>-332.70000000001164</v>
      </c>
      <c r="K44" s="76">
        <f t="shared" si="5"/>
        <v>625.29999999999995</v>
      </c>
      <c r="L44" s="77">
        <f t="shared" ref="L44" si="8">+I44</f>
        <v>302.54000000000002</v>
      </c>
      <c r="M44" s="78">
        <f t="shared" si="2"/>
        <v>189153.3</v>
      </c>
    </row>
    <row r="45" spans="1:13" s="89" customFormat="1" ht="18" customHeight="1">
      <c r="A45" s="60" t="s">
        <v>111</v>
      </c>
      <c r="B45" s="61" t="s">
        <v>259</v>
      </c>
      <c r="C45" s="62"/>
      <c r="D45" s="62"/>
      <c r="E45" s="62"/>
      <c r="F45" s="63"/>
      <c r="G45" s="64"/>
      <c r="H45" s="65"/>
      <c r="I45" s="65"/>
      <c r="J45" s="65"/>
      <c r="K45" s="65"/>
      <c r="L45" s="64"/>
      <c r="M45" s="64"/>
    </row>
    <row r="46" spans="1:13" s="89" customFormat="1" ht="18" customHeight="1">
      <c r="A46" s="66" t="s">
        <v>221</v>
      </c>
      <c r="B46" s="67" t="s">
        <v>222</v>
      </c>
      <c r="C46" s="68" t="s">
        <v>223</v>
      </c>
      <c r="D46" s="69" t="s">
        <v>51</v>
      </c>
      <c r="E46" s="70">
        <v>1150.3</v>
      </c>
      <c r="F46" s="71">
        <v>52.87</v>
      </c>
      <c r="G46" s="151">
        <f t="shared" si="0"/>
        <v>60850.9</v>
      </c>
      <c r="H46" s="73">
        <v>-0.5</v>
      </c>
      <c r="I46" s="74">
        <f t="shared" si="3"/>
        <v>52.87</v>
      </c>
      <c r="J46" s="75">
        <f t="shared" si="4"/>
        <v>-26.5</v>
      </c>
      <c r="K46" s="76">
        <f t="shared" si="5"/>
        <v>1149.8</v>
      </c>
      <c r="L46" s="77">
        <f t="shared" ref="L46" si="9">+I46</f>
        <v>52.87</v>
      </c>
      <c r="M46" s="78">
        <f t="shared" si="2"/>
        <v>60824.4</v>
      </c>
    </row>
    <row r="47" spans="1:13" s="89" customFormat="1" ht="18" customHeight="1">
      <c r="A47" s="60" t="s">
        <v>112</v>
      </c>
      <c r="B47" s="61" t="s">
        <v>224</v>
      </c>
      <c r="C47" s="62"/>
      <c r="D47" s="62"/>
      <c r="E47" s="62"/>
      <c r="F47" s="63"/>
      <c r="G47" s="64"/>
      <c r="H47" s="65"/>
      <c r="I47" s="65"/>
      <c r="J47" s="65"/>
      <c r="K47" s="65"/>
      <c r="L47" s="64"/>
      <c r="M47" s="64"/>
    </row>
    <row r="48" spans="1:13" s="89" customFormat="1" ht="23.1" customHeight="1">
      <c r="A48" s="66" t="s">
        <v>71</v>
      </c>
      <c r="B48" s="67" t="s">
        <v>225</v>
      </c>
      <c r="C48" s="68" t="s">
        <v>239</v>
      </c>
      <c r="D48" s="69" t="s">
        <v>51</v>
      </c>
      <c r="E48" s="70">
        <v>416.6</v>
      </c>
      <c r="F48" s="71">
        <v>552.39</v>
      </c>
      <c r="G48" s="151">
        <f t="shared" si="0"/>
        <v>230129.8</v>
      </c>
      <c r="H48" s="73">
        <v>0.7</v>
      </c>
      <c r="I48" s="74">
        <f t="shared" si="3"/>
        <v>552.39</v>
      </c>
      <c r="J48" s="75">
        <f t="shared" si="4"/>
        <v>386.70000000001164</v>
      </c>
      <c r="K48" s="76">
        <f t="shared" si="5"/>
        <v>417.3</v>
      </c>
      <c r="L48" s="77">
        <f t="shared" ref="L48:L52" si="10">+I48</f>
        <v>552.39</v>
      </c>
      <c r="M48" s="78">
        <f t="shared" si="2"/>
        <v>230516.5</v>
      </c>
    </row>
    <row r="49" spans="1:14" s="89" customFormat="1" ht="23.1" customHeight="1">
      <c r="A49" s="66" t="s">
        <v>226</v>
      </c>
      <c r="B49" s="67" t="s">
        <v>227</v>
      </c>
      <c r="C49" s="68" t="s">
        <v>240</v>
      </c>
      <c r="D49" s="69" t="s">
        <v>51</v>
      </c>
      <c r="E49" s="70">
        <v>416.6</v>
      </c>
      <c r="F49" s="71">
        <v>1060.07</v>
      </c>
      <c r="G49" s="151">
        <f t="shared" si="0"/>
        <v>441637.7</v>
      </c>
      <c r="H49" s="73">
        <v>0.7</v>
      </c>
      <c r="I49" s="74">
        <f t="shared" si="3"/>
        <v>1060.07</v>
      </c>
      <c r="J49" s="75">
        <f t="shared" si="4"/>
        <v>742</v>
      </c>
      <c r="K49" s="76">
        <f t="shared" si="5"/>
        <v>417.3</v>
      </c>
      <c r="L49" s="77">
        <f t="shared" si="10"/>
        <v>1060.07</v>
      </c>
      <c r="M49" s="78">
        <f t="shared" si="2"/>
        <v>442379.7</v>
      </c>
    </row>
    <row r="50" spans="1:14" s="89" customFormat="1" ht="23.1" customHeight="1">
      <c r="A50" s="66" t="s">
        <v>72</v>
      </c>
      <c r="B50" s="67" t="s">
        <v>324</v>
      </c>
      <c r="C50" s="68" t="s">
        <v>325</v>
      </c>
      <c r="D50" s="69" t="s">
        <v>51</v>
      </c>
      <c r="E50" s="70">
        <v>693</v>
      </c>
      <c r="F50" s="71">
        <v>676.02</v>
      </c>
      <c r="G50" s="151">
        <f t="shared" si="0"/>
        <v>468468</v>
      </c>
      <c r="H50" s="73">
        <v>-1.2</v>
      </c>
      <c r="I50" s="74">
        <f t="shared" ref="I50" si="11">F50</f>
        <v>676.02</v>
      </c>
      <c r="J50" s="75">
        <f t="shared" si="4"/>
        <v>-811.20000000001164</v>
      </c>
      <c r="K50" s="76">
        <f t="shared" ref="K50" si="12">E50+H50</f>
        <v>691.8</v>
      </c>
      <c r="L50" s="77">
        <f t="shared" ref="L50" si="13">+I50</f>
        <v>676.02</v>
      </c>
      <c r="M50" s="78">
        <f t="shared" si="2"/>
        <v>467656.8</v>
      </c>
    </row>
    <row r="51" spans="1:14" s="89" customFormat="1" ht="23.1" customHeight="1">
      <c r="A51" s="66" t="s">
        <v>73</v>
      </c>
      <c r="B51" s="67" t="s">
        <v>327</v>
      </c>
      <c r="C51" s="68" t="s">
        <v>328</v>
      </c>
      <c r="D51" s="69" t="s">
        <v>51</v>
      </c>
      <c r="E51" s="70">
        <v>693</v>
      </c>
      <c r="F51" s="71">
        <v>1482.25</v>
      </c>
      <c r="G51" s="151">
        <f t="shared" si="0"/>
        <v>1027233.9</v>
      </c>
      <c r="H51" s="73">
        <v>-1.2</v>
      </c>
      <c r="I51" s="74">
        <f t="shared" ref="I51" si="14">F51</f>
        <v>1482.25</v>
      </c>
      <c r="J51" s="75">
        <f t="shared" si="4"/>
        <v>-1778.8000000000466</v>
      </c>
      <c r="K51" s="76">
        <f t="shared" ref="K51" si="15">E51+H51</f>
        <v>691.8</v>
      </c>
      <c r="L51" s="77">
        <f t="shared" ref="L51" si="16">+I51</f>
        <v>1482.25</v>
      </c>
      <c r="M51" s="78">
        <f t="shared" si="2"/>
        <v>1025455.1</v>
      </c>
    </row>
    <row r="52" spans="1:14" s="89" customFormat="1" ht="18" customHeight="1">
      <c r="A52" s="66" t="s">
        <v>237</v>
      </c>
      <c r="B52" s="67" t="s">
        <v>238</v>
      </c>
      <c r="C52" s="68" t="s">
        <v>241</v>
      </c>
      <c r="D52" s="69" t="s">
        <v>51</v>
      </c>
      <c r="E52" s="70">
        <v>1150.3</v>
      </c>
      <c r="F52" s="172">
        <v>9.2100000000000009</v>
      </c>
      <c r="G52" s="151">
        <f t="shared" si="0"/>
        <v>10582.8</v>
      </c>
      <c r="H52" s="73">
        <v>-0.5</v>
      </c>
      <c r="I52" s="74">
        <f t="shared" si="3"/>
        <v>9.2100000000000009</v>
      </c>
      <c r="J52" s="75">
        <f t="shared" si="4"/>
        <v>-4.5999999999985448</v>
      </c>
      <c r="K52" s="76">
        <f t="shared" si="5"/>
        <v>1149.8</v>
      </c>
      <c r="L52" s="77">
        <f t="shared" si="10"/>
        <v>9.2100000000000009</v>
      </c>
      <c r="M52" s="78">
        <f t="shared" si="2"/>
        <v>10578.2</v>
      </c>
    </row>
    <row r="53" spans="1:14" s="89" customFormat="1" ht="18" customHeight="1">
      <c r="A53" s="60" t="s">
        <v>0</v>
      </c>
      <c r="B53" s="61" t="s">
        <v>47</v>
      </c>
      <c r="C53" s="62"/>
      <c r="D53" s="62"/>
      <c r="E53" s="62"/>
      <c r="F53" s="63"/>
      <c r="G53" s="64"/>
      <c r="H53" s="65"/>
      <c r="I53" s="65"/>
      <c r="J53" s="65"/>
      <c r="K53" s="65"/>
      <c r="L53" s="64"/>
      <c r="M53" s="64"/>
    </row>
    <row r="54" spans="1:14" s="89" customFormat="1" ht="18" customHeight="1">
      <c r="A54" s="66" t="s">
        <v>242</v>
      </c>
      <c r="B54" s="67" t="s">
        <v>243</v>
      </c>
      <c r="C54" s="68" t="s">
        <v>246</v>
      </c>
      <c r="D54" s="69" t="s">
        <v>51</v>
      </c>
      <c r="E54" s="70">
        <v>1138.8</v>
      </c>
      <c r="F54" s="71">
        <v>149.94</v>
      </c>
      <c r="G54" s="151">
        <f t="shared" si="0"/>
        <v>170706.1</v>
      </c>
      <c r="H54" s="73">
        <v>-1</v>
      </c>
      <c r="I54" s="74">
        <f t="shared" si="3"/>
        <v>149.94</v>
      </c>
      <c r="J54" s="75">
        <f t="shared" si="4"/>
        <v>-149.89999999999418</v>
      </c>
      <c r="K54" s="76">
        <f t="shared" si="5"/>
        <v>1137.8</v>
      </c>
      <c r="L54" s="77">
        <f t="shared" ref="L54:L58" si="17">+I54</f>
        <v>149.94</v>
      </c>
      <c r="M54" s="78">
        <f t="shared" si="2"/>
        <v>170556.2</v>
      </c>
    </row>
    <row r="55" spans="1:14" s="89" customFormat="1" ht="18" customHeight="1">
      <c r="A55" s="66" t="s">
        <v>55</v>
      </c>
      <c r="B55" s="67" t="s">
        <v>56</v>
      </c>
      <c r="C55" s="68" t="s">
        <v>57</v>
      </c>
      <c r="D55" s="69" t="s">
        <v>58</v>
      </c>
      <c r="E55" s="70">
        <v>551.29999999999995</v>
      </c>
      <c r="F55" s="71">
        <v>51.29</v>
      </c>
      <c r="G55" s="151">
        <f t="shared" si="0"/>
        <v>28281.7</v>
      </c>
      <c r="H55" s="73">
        <f>-(0.4*0.5*1.1)*1.8</f>
        <v>-0.39600000000000007</v>
      </c>
      <c r="I55" s="74">
        <f t="shared" si="3"/>
        <v>51.29</v>
      </c>
      <c r="J55" s="75">
        <f t="shared" si="4"/>
        <v>-20.5</v>
      </c>
      <c r="K55" s="76">
        <f t="shared" si="5"/>
        <v>550.904</v>
      </c>
      <c r="L55" s="77">
        <f t="shared" si="17"/>
        <v>51.29</v>
      </c>
      <c r="M55" s="78">
        <f t="shared" si="2"/>
        <v>28261.200000000001</v>
      </c>
    </row>
    <row r="56" spans="1:14" s="89" customFormat="1" ht="23.1" customHeight="1">
      <c r="A56" s="66" t="s">
        <v>59</v>
      </c>
      <c r="B56" s="67" t="s">
        <v>60</v>
      </c>
      <c r="C56" s="68" t="s">
        <v>61</v>
      </c>
      <c r="D56" s="69" t="s">
        <v>58</v>
      </c>
      <c r="E56" s="70">
        <v>237.5</v>
      </c>
      <c r="F56" s="71">
        <v>257.77999999999997</v>
      </c>
      <c r="G56" s="151">
        <f t="shared" si="0"/>
        <v>61227.5</v>
      </c>
      <c r="H56" s="73">
        <f>-(0.1*0.5*1.1)*1.8</f>
        <v>-9.9000000000000019E-2</v>
      </c>
      <c r="I56" s="74">
        <f t="shared" si="3"/>
        <v>257.77999999999997</v>
      </c>
      <c r="J56" s="75">
        <f t="shared" si="4"/>
        <v>-25.80000000000291</v>
      </c>
      <c r="K56" s="76">
        <f t="shared" si="5"/>
        <v>237.40100000000001</v>
      </c>
      <c r="L56" s="77">
        <f t="shared" si="17"/>
        <v>257.77999999999997</v>
      </c>
      <c r="M56" s="78">
        <f t="shared" si="2"/>
        <v>61201.7</v>
      </c>
    </row>
    <row r="57" spans="1:14" s="89" customFormat="1" ht="23.1" customHeight="1">
      <c r="A57" s="66" t="s">
        <v>244</v>
      </c>
      <c r="B57" s="67" t="s">
        <v>245</v>
      </c>
      <c r="C57" s="68" t="s">
        <v>247</v>
      </c>
      <c r="D57" s="69" t="s">
        <v>58</v>
      </c>
      <c r="E57" s="70">
        <v>313.8</v>
      </c>
      <c r="F57" s="71">
        <v>154.66999999999999</v>
      </c>
      <c r="G57" s="151">
        <f t="shared" si="0"/>
        <v>48544.9</v>
      </c>
      <c r="H57" s="73">
        <f>-(0.3*0.5*1.1)*1.8</f>
        <v>-0.29700000000000004</v>
      </c>
      <c r="I57" s="74">
        <f t="shared" si="3"/>
        <v>154.66999999999999</v>
      </c>
      <c r="J57" s="75">
        <f t="shared" si="4"/>
        <v>-46.400000000001455</v>
      </c>
      <c r="K57" s="76">
        <f t="shared" si="5"/>
        <v>313.50299999999999</v>
      </c>
      <c r="L57" s="77">
        <f t="shared" si="17"/>
        <v>154.66999999999999</v>
      </c>
      <c r="M57" s="78">
        <f t="shared" si="2"/>
        <v>48498.5</v>
      </c>
    </row>
    <row r="58" spans="1:14" s="89" customFormat="1" ht="18" customHeight="1">
      <c r="A58" s="66" t="s">
        <v>65</v>
      </c>
      <c r="B58" s="67" t="s">
        <v>66</v>
      </c>
      <c r="C58" s="68" t="s">
        <v>64</v>
      </c>
      <c r="D58" s="69" t="s">
        <v>58</v>
      </c>
      <c r="E58" s="70">
        <v>551.29999999999995</v>
      </c>
      <c r="F58" s="71">
        <v>164.09</v>
      </c>
      <c r="G58" s="151">
        <f t="shared" si="0"/>
        <v>90468.3</v>
      </c>
      <c r="H58" s="73">
        <f>H55</f>
        <v>-0.39600000000000007</v>
      </c>
      <c r="I58" s="74">
        <f t="shared" si="3"/>
        <v>164.09</v>
      </c>
      <c r="J58" s="75">
        <f t="shared" si="4"/>
        <v>-65.600000000005821</v>
      </c>
      <c r="K58" s="76">
        <f t="shared" si="5"/>
        <v>550.904</v>
      </c>
      <c r="L58" s="77">
        <f t="shared" si="17"/>
        <v>164.09</v>
      </c>
      <c r="M58" s="78">
        <f t="shared" si="2"/>
        <v>90402.7</v>
      </c>
    </row>
    <row r="59" spans="1:14" s="89" customFormat="1" ht="18" customHeight="1">
      <c r="A59" s="144"/>
      <c r="B59" s="144"/>
      <c r="C59" s="80"/>
      <c r="D59" s="80"/>
      <c r="E59" s="152"/>
      <c r="F59" s="40"/>
      <c r="G59" s="82">
        <f>SUM(G16:G58)</f>
        <v>10353375.000000002</v>
      </c>
      <c r="H59" s="83"/>
      <c r="I59" s="84"/>
      <c r="J59" s="85">
        <f>SUM(J16:J58)</f>
        <v>-5671.200000000038</v>
      </c>
      <c r="K59" s="86"/>
      <c r="L59" s="87"/>
      <c r="M59" s="88">
        <f>SUM(M16:M58)</f>
        <v>10347703.799999997</v>
      </c>
    </row>
    <row r="60" spans="1:14" s="89" customFormat="1" ht="18" customHeight="1">
      <c r="A60" s="196" t="s">
        <v>260</v>
      </c>
      <c r="B60" s="197"/>
      <c r="C60" s="197"/>
      <c r="D60" s="197"/>
      <c r="E60" s="152"/>
      <c r="F60" s="40"/>
      <c r="G60" s="82"/>
      <c r="H60" s="83"/>
      <c r="I60" s="84"/>
      <c r="J60" s="85"/>
      <c r="K60" s="86"/>
      <c r="L60" s="87"/>
      <c r="M60" s="88"/>
    </row>
    <row r="61" spans="1:14" s="89" customFormat="1" ht="18" customHeight="1">
      <c r="A61" s="144"/>
      <c r="B61" s="144"/>
      <c r="C61" s="80"/>
      <c r="D61" s="80"/>
      <c r="E61" s="152"/>
      <c r="F61" s="40"/>
      <c r="G61" s="82"/>
      <c r="H61" s="83"/>
      <c r="I61" s="84"/>
      <c r="J61" s="85"/>
      <c r="K61" s="86"/>
      <c r="L61" s="87"/>
      <c r="M61" s="88"/>
    </row>
    <row r="62" spans="1:14" s="89" customFormat="1" ht="18" customHeight="1">
      <c r="A62" s="46" t="s">
        <v>250</v>
      </c>
      <c r="B62" s="47" t="s">
        <v>261</v>
      </c>
      <c r="C62" s="40"/>
      <c r="D62" s="40"/>
      <c r="E62" s="198" t="s">
        <v>1</v>
      </c>
      <c r="F62" s="198"/>
      <c r="G62" s="198"/>
      <c r="H62" s="199" t="s">
        <v>10</v>
      </c>
      <c r="I62" s="199"/>
      <c r="J62" s="199"/>
      <c r="K62" s="200" t="s">
        <v>11</v>
      </c>
      <c r="L62" s="200"/>
      <c r="M62" s="200"/>
      <c r="N62" s="166" t="s">
        <v>319</v>
      </c>
    </row>
    <row r="63" spans="1:14" s="89" customFormat="1" ht="24.95" customHeight="1">
      <c r="A63" s="48" t="s">
        <v>12</v>
      </c>
      <c r="B63" s="145" t="s">
        <v>13</v>
      </c>
      <c r="C63" s="48" t="s">
        <v>13</v>
      </c>
      <c r="D63" s="145" t="s">
        <v>14</v>
      </c>
      <c r="E63" s="146" t="s">
        <v>15</v>
      </c>
      <c r="F63" s="147" t="s">
        <v>16</v>
      </c>
      <c r="G63" s="52" t="s">
        <v>17</v>
      </c>
      <c r="H63" s="53" t="s">
        <v>15</v>
      </c>
      <c r="I63" s="54" t="s">
        <v>18</v>
      </c>
      <c r="J63" s="55" t="s">
        <v>17</v>
      </c>
      <c r="K63" s="56" t="s">
        <v>15</v>
      </c>
      <c r="L63" s="57" t="s">
        <v>18</v>
      </c>
      <c r="M63" s="58" t="s">
        <v>19</v>
      </c>
    </row>
    <row r="64" spans="1:14" s="89" customFormat="1" ht="18" customHeight="1">
      <c r="A64" s="60" t="s">
        <v>32</v>
      </c>
      <c r="B64" s="61" t="s">
        <v>33</v>
      </c>
      <c r="C64" s="62"/>
      <c r="D64" s="62"/>
      <c r="E64" s="62"/>
      <c r="F64" s="63"/>
      <c r="G64" s="64"/>
      <c r="H64" s="65"/>
      <c r="I64" s="65"/>
      <c r="J64" s="65"/>
      <c r="K64" s="64"/>
      <c r="L64" s="64"/>
      <c r="M64" s="64"/>
    </row>
    <row r="65" spans="1:13" s="89" customFormat="1" ht="23.1" customHeight="1">
      <c r="A65" s="66" t="s">
        <v>32</v>
      </c>
      <c r="B65" s="67" t="s">
        <v>121</v>
      </c>
      <c r="C65" s="68" t="s">
        <v>176</v>
      </c>
      <c r="D65" s="69" t="s">
        <v>36</v>
      </c>
      <c r="E65" s="70">
        <v>109.3</v>
      </c>
      <c r="F65" s="71">
        <v>23.67</v>
      </c>
      <c r="G65" s="151">
        <f t="shared" ref="G65:G102" si="18">ROUND(ROUND(F65,1)*ROUND(E65,1),1)</f>
        <v>2590.4</v>
      </c>
      <c r="H65" s="73">
        <v>-0.22</v>
      </c>
      <c r="I65" s="74">
        <f>F65</f>
        <v>23.67</v>
      </c>
      <c r="J65" s="75">
        <f>+M65-G65</f>
        <v>-4.7000000000002728</v>
      </c>
      <c r="K65" s="76">
        <f>E65+H65</f>
        <v>109.08</v>
      </c>
      <c r="L65" s="77">
        <f t="shared" ref="L65:L85" si="19">+I65</f>
        <v>23.67</v>
      </c>
      <c r="M65" s="78">
        <f t="shared" ref="M65:M85" si="20">ROUND(ROUND(L65,1)*ROUND(K65,1),1)</f>
        <v>2585.6999999999998</v>
      </c>
    </row>
    <row r="66" spans="1:13" s="89" customFormat="1" ht="18" customHeight="1">
      <c r="A66" s="66" t="s">
        <v>110</v>
      </c>
      <c r="B66" s="67" t="s">
        <v>262</v>
      </c>
      <c r="C66" s="68" t="s">
        <v>264</v>
      </c>
      <c r="D66" s="69" t="s">
        <v>180</v>
      </c>
      <c r="E66" s="70">
        <v>50.6</v>
      </c>
      <c r="F66" s="71">
        <v>257.77999999999997</v>
      </c>
      <c r="G66" s="151">
        <f t="shared" si="18"/>
        <v>13044.7</v>
      </c>
      <c r="H66" s="73">
        <f>-(0.2*1.1*2.1)*0.35</f>
        <v>-0.16170000000000001</v>
      </c>
      <c r="I66" s="74">
        <f t="shared" ref="I66:I102" si="21">F66</f>
        <v>257.77999999999997</v>
      </c>
      <c r="J66" s="75">
        <f t="shared" ref="J66:J85" si="22">+M66-G66</f>
        <v>-51.600000000000364</v>
      </c>
      <c r="K66" s="76">
        <f t="shared" ref="K66:K85" si="23">E66+H66</f>
        <v>50.438299999999998</v>
      </c>
      <c r="L66" s="77">
        <f t="shared" si="19"/>
        <v>257.77999999999997</v>
      </c>
      <c r="M66" s="78">
        <f t="shared" si="20"/>
        <v>12993.1</v>
      </c>
    </row>
    <row r="67" spans="1:13" s="89" customFormat="1" ht="18" customHeight="1">
      <c r="A67" s="66" t="s">
        <v>111</v>
      </c>
      <c r="B67" s="67" t="s">
        <v>137</v>
      </c>
      <c r="C67" s="68" t="s">
        <v>182</v>
      </c>
      <c r="D67" s="69" t="s">
        <v>180</v>
      </c>
      <c r="E67" s="70">
        <v>50.6</v>
      </c>
      <c r="F67" s="71">
        <v>13.15</v>
      </c>
      <c r="G67" s="151">
        <f t="shared" si="18"/>
        <v>667.9</v>
      </c>
      <c r="H67" s="73">
        <f t="shared" ref="H67" si="24">-(0.2*1.1*2.1)*0.35</f>
        <v>-0.16170000000000001</v>
      </c>
      <c r="I67" s="74">
        <f t="shared" si="21"/>
        <v>13.15</v>
      </c>
      <c r="J67" s="75">
        <f t="shared" si="22"/>
        <v>-2.6000000000000227</v>
      </c>
      <c r="K67" s="76">
        <f t="shared" si="23"/>
        <v>50.438299999999998</v>
      </c>
      <c r="L67" s="77">
        <f t="shared" si="19"/>
        <v>13.15</v>
      </c>
      <c r="M67" s="78">
        <f t="shared" si="20"/>
        <v>665.3</v>
      </c>
    </row>
    <row r="68" spans="1:13" s="89" customFormat="1" ht="18" customHeight="1">
      <c r="A68" s="66" t="s">
        <v>112</v>
      </c>
      <c r="B68" s="67" t="s">
        <v>263</v>
      </c>
      <c r="C68" s="68" t="s">
        <v>265</v>
      </c>
      <c r="D68" s="69" t="s">
        <v>180</v>
      </c>
      <c r="E68" s="70">
        <v>71.7</v>
      </c>
      <c r="F68" s="71">
        <v>315.64999999999998</v>
      </c>
      <c r="G68" s="151">
        <f t="shared" si="18"/>
        <v>22635.7</v>
      </c>
      <c r="H68" s="73">
        <f>-(0.2*1.1*2.1)*0.25</f>
        <v>-0.11550000000000002</v>
      </c>
      <c r="I68" s="74">
        <f t="shared" si="21"/>
        <v>315.64999999999998</v>
      </c>
      <c r="J68" s="75">
        <f t="shared" si="22"/>
        <v>-31.600000000002183</v>
      </c>
      <c r="K68" s="76">
        <f t="shared" si="23"/>
        <v>71.584500000000006</v>
      </c>
      <c r="L68" s="77">
        <f t="shared" si="19"/>
        <v>315.64999999999998</v>
      </c>
      <c r="M68" s="78">
        <f t="shared" si="20"/>
        <v>22604.1</v>
      </c>
    </row>
    <row r="69" spans="1:13" s="89" customFormat="1" ht="18" customHeight="1">
      <c r="A69" s="66" t="s">
        <v>0</v>
      </c>
      <c r="B69" s="67" t="s">
        <v>141</v>
      </c>
      <c r="C69" s="68" t="s">
        <v>184</v>
      </c>
      <c r="D69" s="69" t="s">
        <v>180</v>
      </c>
      <c r="E69" s="70">
        <v>71.7</v>
      </c>
      <c r="F69" s="71">
        <v>15.78</v>
      </c>
      <c r="G69" s="151">
        <f t="shared" si="18"/>
        <v>1132.9000000000001</v>
      </c>
      <c r="H69" s="73">
        <f>-(0.2*1.1*2.1)*0.25</f>
        <v>-0.11550000000000002</v>
      </c>
      <c r="I69" s="74">
        <f t="shared" si="21"/>
        <v>15.78</v>
      </c>
      <c r="J69" s="75">
        <f t="shared" si="22"/>
        <v>-1.6000000000001364</v>
      </c>
      <c r="K69" s="76">
        <f t="shared" si="23"/>
        <v>71.584500000000006</v>
      </c>
      <c r="L69" s="77">
        <f t="shared" si="19"/>
        <v>15.78</v>
      </c>
      <c r="M69" s="78">
        <f t="shared" si="20"/>
        <v>1131.3</v>
      </c>
    </row>
    <row r="70" spans="1:13" s="89" customFormat="1" ht="23.1" customHeight="1">
      <c r="A70" s="66" t="s">
        <v>113</v>
      </c>
      <c r="B70" s="67" t="s">
        <v>143</v>
      </c>
      <c r="C70" s="68" t="s">
        <v>185</v>
      </c>
      <c r="D70" s="69" t="s">
        <v>180</v>
      </c>
      <c r="E70" s="70">
        <v>8.4</v>
      </c>
      <c r="F70" s="71">
        <v>1569.06</v>
      </c>
      <c r="G70" s="151">
        <f t="shared" si="18"/>
        <v>13180.4</v>
      </c>
      <c r="H70" s="73">
        <f>-(0.2*1.1*2.1)*0.05</f>
        <v>-2.3100000000000006E-2</v>
      </c>
      <c r="I70" s="74">
        <f t="shared" si="21"/>
        <v>1569.06</v>
      </c>
      <c r="J70" s="75">
        <f t="shared" si="22"/>
        <v>0</v>
      </c>
      <c r="K70" s="76">
        <f t="shared" si="23"/>
        <v>8.3769000000000009</v>
      </c>
      <c r="L70" s="77">
        <f t="shared" si="19"/>
        <v>1569.06</v>
      </c>
      <c r="M70" s="78">
        <f t="shared" si="20"/>
        <v>13180.4</v>
      </c>
    </row>
    <row r="71" spans="1:13" s="89" customFormat="1" ht="23.1" customHeight="1">
      <c r="A71" s="66" t="s">
        <v>114</v>
      </c>
      <c r="B71" s="67" t="s">
        <v>145</v>
      </c>
      <c r="C71" s="68" t="s">
        <v>186</v>
      </c>
      <c r="D71" s="69" t="s">
        <v>180</v>
      </c>
      <c r="E71" s="70">
        <v>80.2</v>
      </c>
      <c r="F71" s="71">
        <v>2149.0700000000002</v>
      </c>
      <c r="G71" s="151">
        <f t="shared" si="18"/>
        <v>172357.8</v>
      </c>
      <c r="H71" s="73">
        <f>-(0.2*1.1*2.1)*0.35</f>
        <v>-0.16170000000000001</v>
      </c>
      <c r="I71" s="74">
        <f t="shared" si="21"/>
        <v>2149.0700000000002</v>
      </c>
      <c r="J71" s="75">
        <f t="shared" si="22"/>
        <v>-429.79999999998836</v>
      </c>
      <c r="K71" s="76">
        <f t="shared" si="23"/>
        <v>80.038300000000007</v>
      </c>
      <c r="L71" s="77">
        <f t="shared" si="19"/>
        <v>2149.0700000000002</v>
      </c>
      <c r="M71" s="78">
        <f t="shared" si="20"/>
        <v>171928</v>
      </c>
    </row>
    <row r="72" spans="1:13" s="89" customFormat="1" ht="18" customHeight="1">
      <c r="A72" s="66" t="s">
        <v>116</v>
      </c>
      <c r="B72" s="67" t="s">
        <v>148</v>
      </c>
      <c r="C72" s="68" t="s">
        <v>187</v>
      </c>
      <c r="D72" s="69" t="s">
        <v>36</v>
      </c>
      <c r="E72" s="70">
        <v>375.9</v>
      </c>
      <c r="F72" s="71">
        <v>99.96</v>
      </c>
      <c r="G72" s="151">
        <f t="shared" si="18"/>
        <v>37590</v>
      </c>
      <c r="H72" s="73">
        <f>-(2*0.2*2.2)</f>
        <v>-0.88000000000000012</v>
      </c>
      <c r="I72" s="74">
        <f t="shared" si="21"/>
        <v>99.96</v>
      </c>
      <c r="J72" s="75">
        <f t="shared" si="22"/>
        <v>-90</v>
      </c>
      <c r="K72" s="76">
        <f t="shared" si="23"/>
        <v>375.02</v>
      </c>
      <c r="L72" s="77">
        <f t="shared" si="19"/>
        <v>99.96</v>
      </c>
      <c r="M72" s="78">
        <f t="shared" si="20"/>
        <v>37500</v>
      </c>
    </row>
    <row r="73" spans="1:13" s="89" customFormat="1" ht="18" customHeight="1">
      <c r="A73" s="66" t="s">
        <v>117</v>
      </c>
      <c r="B73" s="67" t="s">
        <v>150</v>
      </c>
      <c r="C73" s="68" t="s">
        <v>188</v>
      </c>
      <c r="D73" s="69" t="s">
        <v>36</v>
      </c>
      <c r="E73" s="70">
        <v>375.9</v>
      </c>
      <c r="F73" s="71">
        <v>149.94</v>
      </c>
      <c r="G73" s="151">
        <f t="shared" si="18"/>
        <v>56347.4</v>
      </c>
      <c r="H73" s="73">
        <f>-(2*0.2*2.2)</f>
        <v>-0.88000000000000012</v>
      </c>
      <c r="I73" s="74">
        <f t="shared" si="21"/>
        <v>149.94</v>
      </c>
      <c r="J73" s="75">
        <f t="shared" si="22"/>
        <v>-134.90000000000146</v>
      </c>
      <c r="K73" s="76">
        <f t="shared" si="23"/>
        <v>375.02</v>
      </c>
      <c r="L73" s="77">
        <f t="shared" si="19"/>
        <v>149.94</v>
      </c>
      <c r="M73" s="78">
        <f t="shared" si="20"/>
        <v>56212.5</v>
      </c>
    </row>
    <row r="74" spans="1:13" s="89" customFormat="1" ht="18" customHeight="1">
      <c r="A74" s="66" t="s">
        <v>118</v>
      </c>
      <c r="B74" s="67" t="s">
        <v>252</v>
      </c>
      <c r="C74" s="68" t="s">
        <v>256</v>
      </c>
      <c r="D74" s="69" t="s">
        <v>180</v>
      </c>
      <c r="E74" s="70">
        <v>122.4</v>
      </c>
      <c r="F74" s="71">
        <v>13.15</v>
      </c>
      <c r="G74" s="151">
        <f t="shared" si="18"/>
        <v>1615.7</v>
      </c>
      <c r="H74" s="73">
        <f>H66+H68</f>
        <v>-0.2772</v>
      </c>
      <c r="I74" s="74">
        <f t="shared" si="21"/>
        <v>13.15</v>
      </c>
      <c r="J74" s="75">
        <f t="shared" si="22"/>
        <v>-4</v>
      </c>
      <c r="K74" s="76">
        <f t="shared" si="23"/>
        <v>122.12280000000001</v>
      </c>
      <c r="L74" s="77">
        <f t="shared" si="19"/>
        <v>13.15</v>
      </c>
      <c r="M74" s="78">
        <f t="shared" si="20"/>
        <v>1611.7</v>
      </c>
    </row>
    <row r="75" spans="1:13" s="89" customFormat="1" ht="18" customHeight="1">
      <c r="A75" s="66" t="s">
        <v>119</v>
      </c>
      <c r="B75" s="67" t="s">
        <v>154</v>
      </c>
      <c r="C75" s="68" t="s">
        <v>190</v>
      </c>
      <c r="D75" s="69" t="s">
        <v>180</v>
      </c>
      <c r="E75" s="70">
        <v>91</v>
      </c>
      <c r="F75" s="71">
        <v>19.73</v>
      </c>
      <c r="G75" s="151">
        <f t="shared" si="18"/>
        <v>1792.7</v>
      </c>
      <c r="H75" s="73">
        <f>H70+H71</f>
        <v>-0.18480000000000002</v>
      </c>
      <c r="I75" s="74">
        <f t="shared" si="21"/>
        <v>19.73</v>
      </c>
      <c r="J75" s="75">
        <f t="shared" si="22"/>
        <v>-3.9000000000000909</v>
      </c>
      <c r="K75" s="76">
        <f t="shared" si="23"/>
        <v>90.815200000000004</v>
      </c>
      <c r="L75" s="77">
        <f t="shared" si="19"/>
        <v>19.73</v>
      </c>
      <c r="M75" s="78">
        <f t="shared" si="20"/>
        <v>1788.8</v>
      </c>
    </row>
    <row r="76" spans="1:13" s="89" customFormat="1" ht="18" customHeight="1">
      <c r="A76" s="66" t="s">
        <v>120</v>
      </c>
      <c r="B76" s="67" t="s">
        <v>156</v>
      </c>
      <c r="C76" s="68" t="s">
        <v>191</v>
      </c>
      <c r="D76" s="69" t="s">
        <v>180</v>
      </c>
      <c r="E76" s="70">
        <v>122.4</v>
      </c>
      <c r="F76" s="71">
        <v>44.72</v>
      </c>
      <c r="G76" s="151">
        <f t="shared" si="18"/>
        <v>5471.3</v>
      </c>
      <c r="H76" s="73">
        <f>H74</f>
        <v>-0.2772</v>
      </c>
      <c r="I76" s="74">
        <f t="shared" si="21"/>
        <v>44.72</v>
      </c>
      <c r="J76" s="75">
        <f t="shared" si="22"/>
        <v>-13.400000000000546</v>
      </c>
      <c r="K76" s="76">
        <f t="shared" si="23"/>
        <v>122.12280000000001</v>
      </c>
      <c r="L76" s="77">
        <f t="shared" si="19"/>
        <v>44.72</v>
      </c>
      <c r="M76" s="78">
        <f t="shared" si="20"/>
        <v>5457.9</v>
      </c>
    </row>
    <row r="77" spans="1:13" s="89" customFormat="1" ht="18" customHeight="1">
      <c r="A77" s="66" t="s">
        <v>124</v>
      </c>
      <c r="B77" s="67" t="s">
        <v>253</v>
      </c>
      <c r="C77" s="68" t="s">
        <v>257</v>
      </c>
      <c r="D77" s="69" t="s">
        <v>180</v>
      </c>
      <c r="E77" s="70">
        <v>70.7</v>
      </c>
      <c r="F77" s="71">
        <v>51.29</v>
      </c>
      <c r="G77" s="151">
        <f t="shared" si="18"/>
        <v>3626.9</v>
      </c>
      <c r="H77" s="73">
        <f>H75</f>
        <v>-0.18480000000000002</v>
      </c>
      <c r="I77" s="74">
        <f t="shared" si="21"/>
        <v>51.29</v>
      </c>
      <c r="J77" s="75">
        <f t="shared" si="22"/>
        <v>-10.200000000000273</v>
      </c>
      <c r="K77" s="76">
        <f t="shared" si="23"/>
        <v>70.515200000000007</v>
      </c>
      <c r="L77" s="77">
        <f t="shared" si="19"/>
        <v>51.29</v>
      </c>
      <c r="M77" s="78">
        <f t="shared" si="20"/>
        <v>3616.7</v>
      </c>
    </row>
    <row r="78" spans="1:13" s="89" customFormat="1" ht="23.1" customHeight="1">
      <c r="A78" s="66" t="s">
        <v>34</v>
      </c>
      <c r="B78" s="67" t="s">
        <v>159</v>
      </c>
      <c r="C78" s="68" t="s">
        <v>193</v>
      </c>
      <c r="D78" s="69" t="s">
        <v>180</v>
      </c>
      <c r="E78" s="70">
        <v>240.3</v>
      </c>
      <c r="F78" s="71">
        <v>11.84</v>
      </c>
      <c r="G78" s="151">
        <f t="shared" si="18"/>
        <v>2835.5</v>
      </c>
      <c r="H78" s="73">
        <f>H76+H77</f>
        <v>-0.46200000000000002</v>
      </c>
      <c r="I78" s="74">
        <f t="shared" si="21"/>
        <v>11.84</v>
      </c>
      <c r="J78" s="75">
        <f t="shared" si="22"/>
        <v>-5.9000000000000909</v>
      </c>
      <c r="K78" s="76">
        <f t="shared" si="23"/>
        <v>239.83800000000002</v>
      </c>
      <c r="L78" s="77">
        <f t="shared" si="19"/>
        <v>11.84</v>
      </c>
      <c r="M78" s="78">
        <f t="shared" si="20"/>
        <v>2829.6</v>
      </c>
    </row>
    <row r="79" spans="1:13" s="89" customFormat="1" ht="23.1" customHeight="1">
      <c r="A79" s="66" t="s">
        <v>126</v>
      </c>
      <c r="B79" s="67" t="s">
        <v>159</v>
      </c>
      <c r="C79" s="68" t="s">
        <v>193</v>
      </c>
      <c r="D79" s="69" t="s">
        <v>180</v>
      </c>
      <c r="E79" s="70">
        <v>100</v>
      </c>
      <c r="F79" s="71">
        <v>11.84</v>
      </c>
      <c r="G79" s="151">
        <f t="shared" si="18"/>
        <v>1180</v>
      </c>
      <c r="H79" s="73">
        <f>H82+H90</f>
        <v>-0.12650000000000003</v>
      </c>
      <c r="I79" s="74">
        <f t="shared" si="21"/>
        <v>11.84</v>
      </c>
      <c r="J79" s="75">
        <f t="shared" si="22"/>
        <v>-1.2000000000000455</v>
      </c>
      <c r="K79" s="76">
        <f t="shared" si="23"/>
        <v>99.873500000000007</v>
      </c>
      <c r="L79" s="77">
        <f t="shared" si="19"/>
        <v>11.84</v>
      </c>
      <c r="M79" s="78">
        <f t="shared" si="20"/>
        <v>1178.8</v>
      </c>
    </row>
    <row r="80" spans="1:13" s="89" customFormat="1" ht="23.1" customHeight="1">
      <c r="A80" s="66" t="s">
        <v>127</v>
      </c>
      <c r="B80" s="67" t="s">
        <v>162</v>
      </c>
      <c r="C80" s="68" t="s">
        <v>194</v>
      </c>
      <c r="D80" s="69" t="s">
        <v>58</v>
      </c>
      <c r="E80" s="70">
        <v>183.8</v>
      </c>
      <c r="F80" s="71">
        <v>116</v>
      </c>
      <c r="G80" s="151">
        <f t="shared" si="18"/>
        <v>21320.799999999999</v>
      </c>
      <c r="H80" s="73">
        <f>H79*2</f>
        <v>-0.25300000000000006</v>
      </c>
      <c r="I80" s="74">
        <f t="shared" si="21"/>
        <v>116</v>
      </c>
      <c r="J80" s="75">
        <f t="shared" si="22"/>
        <v>-34.799999999999272</v>
      </c>
      <c r="K80" s="76">
        <f t="shared" si="23"/>
        <v>183.54700000000003</v>
      </c>
      <c r="L80" s="77">
        <f t="shared" si="19"/>
        <v>116</v>
      </c>
      <c r="M80" s="78">
        <f t="shared" si="20"/>
        <v>21286</v>
      </c>
    </row>
    <row r="81" spans="1:13" s="89" customFormat="1" ht="23.1" customHeight="1">
      <c r="A81" s="66" t="s">
        <v>128</v>
      </c>
      <c r="B81" s="67" t="s">
        <v>164</v>
      </c>
      <c r="C81" s="68" t="s">
        <v>195</v>
      </c>
      <c r="D81" s="69" t="s">
        <v>180</v>
      </c>
      <c r="E81" s="70">
        <v>121.3</v>
      </c>
      <c r="F81" s="71">
        <v>286.72000000000003</v>
      </c>
      <c r="G81" s="151">
        <f t="shared" si="18"/>
        <v>34776.699999999997</v>
      </c>
      <c r="H81" s="73">
        <f>-(0.2*1.1*1.55)</f>
        <v>-0.34100000000000008</v>
      </c>
      <c r="I81" s="74">
        <f t="shared" si="21"/>
        <v>286.72000000000003</v>
      </c>
      <c r="J81" s="75">
        <f t="shared" si="22"/>
        <v>-86</v>
      </c>
      <c r="K81" s="76">
        <f t="shared" si="23"/>
        <v>120.959</v>
      </c>
      <c r="L81" s="77">
        <f t="shared" si="19"/>
        <v>286.72000000000003</v>
      </c>
      <c r="M81" s="78">
        <f t="shared" si="20"/>
        <v>34690.699999999997</v>
      </c>
    </row>
    <row r="82" spans="1:13" s="89" customFormat="1" ht="23.1" customHeight="1">
      <c r="A82" s="66" t="s">
        <v>131</v>
      </c>
      <c r="B82" s="67" t="s">
        <v>166</v>
      </c>
      <c r="C82" s="68" t="s">
        <v>196</v>
      </c>
      <c r="D82" s="69" t="s">
        <v>180</v>
      </c>
      <c r="E82" s="70">
        <v>43.7</v>
      </c>
      <c r="F82" s="71">
        <v>318.27999999999997</v>
      </c>
      <c r="G82" s="151">
        <f t="shared" si="18"/>
        <v>13909.7</v>
      </c>
      <c r="H82" s="73">
        <f>-(0.4*0.2*1.1)</f>
        <v>-8.8000000000000023E-2</v>
      </c>
      <c r="I82" s="74">
        <f t="shared" si="21"/>
        <v>318.27999999999997</v>
      </c>
      <c r="J82" s="75">
        <f t="shared" si="22"/>
        <v>-31.800000000001091</v>
      </c>
      <c r="K82" s="76">
        <f t="shared" si="23"/>
        <v>43.612000000000002</v>
      </c>
      <c r="L82" s="77">
        <f t="shared" si="19"/>
        <v>318.27999999999997</v>
      </c>
      <c r="M82" s="78">
        <f t="shared" si="20"/>
        <v>13877.9</v>
      </c>
    </row>
    <row r="83" spans="1:13" s="89" customFormat="1" ht="18" customHeight="1">
      <c r="A83" s="66" t="s">
        <v>133</v>
      </c>
      <c r="B83" s="67" t="s">
        <v>254</v>
      </c>
      <c r="C83" s="68" t="s">
        <v>258</v>
      </c>
      <c r="D83" s="69" t="s">
        <v>58</v>
      </c>
      <c r="E83" s="70">
        <v>87.3</v>
      </c>
      <c r="F83" s="71">
        <v>155.96</v>
      </c>
      <c r="G83" s="151">
        <f t="shared" si="18"/>
        <v>13618.8</v>
      </c>
      <c r="H83" s="73">
        <f>H82*2</f>
        <v>-0.17600000000000005</v>
      </c>
      <c r="I83" s="74">
        <f t="shared" si="21"/>
        <v>155.96</v>
      </c>
      <c r="J83" s="75">
        <f t="shared" si="22"/>
        <v>-31.199999999998909</v>
      </c>
      <c r="K83" s="76">
        <f t="shared" si="23"/>
        <v>87.123999999999995</v>
      </c>
      <c r="L83" s="77">
        <f t="shared" si="19"/>
        <v>155.96</v>
      </c>
      <c r="M83" s="78">
        <f t="shared" si="20"/>
        <v>13587.6</v>
      </c>
    </row>
    <row r="84" spans="1:13" s="89" customFormat="1" ht="18" customHeight="1">
      <c r="A84" s="66" t="s">
        <v>213</v>
      </c>
      <c r="B84" s="67" t="s">
        <v>172</v>
      </c>
      <c r="C84" s="68" t="s">
        <v>198</v>
      </c>
      <c r="D84" s="69" t="s">
        <v>180</v>
      </c>
      <c r="E84" s="70">
        <v>122.4</v>
      </c>
      <c r="F84" s="71">
        <v>160.46</v>
      </c>
      <c r="G84" s="151">
        <f t="shared" si="18"/>
        <v>19645.2</v>
      </c>
      <c r="H84" s="73">
        <f>H78</f>
        <v>-0.46200000000000002</v>
      </c>
      <c r="I84" s="74">
        <f t="shared" si="21"/>
        <v>160.46</v>
      </c>
      <c r="J84" s="75">
        <f t="shared" si="22"/>
        <v>-80.200000000000728</v>
      </c>
      <c r="K84" s="76">
        <f t="shared" si="23"/>
        <v>121.938</v>
      </c>
      <c r="L84" s="77">
        <f t="shared" si="19"/>
        <v>160.46</v>
      </c>
      <c r="M84" s="78">
        <f t="shared" si="20"/>
        <v>19565</v>
      </c>
    </row>
    <row r="85" spans="1:13" s="89" customFormat="1" ht="23.1" customHeight="1">
      <c r="A85" s="66" t="s">
        <v>39</v>
      </c>
      <c r="B85" s="67" t="s">
        <v>175</v>
      </c>
      <c r="C85" s="68" t="s">
        <v>199</v>
      </c>
      <c r="D85" s="69" t="s">
        <v>180</v>
      </c>
      <c r="E85" s="70">
        <v>70.7</v>
      </c>
      <c r="F85" s="71">
        <v>247.39</v>
      </c>
      <c r="G85" s="151">
        <f t="shared" si="18"/>
        <v>17491.2</v>
      </c>
      <c r="H85" s="73">
        <f>H79</f>
        <v>-0.12650000000000003</v>
      </c>
      <c r="I85" s="74">
        <f t="shared" si="21"/>
        <v>247.39</v>
      </c>
      <c r="J85" s="75">
        <f t="shared" si="22"/>
        <v>-24.799999999999272</v>
      </c>
      <c r="K85" s="76">
        <f t="shared" si="23"/>
        <v>70.57350000000001</v>
      </c>
      <c r="L85" s="77">
        <f t="shared" si="19"/>
        <v>247.39</v>
      </c>
      <c r="M85" s="78">
        <f t="shared" si="20"/>
        <v>17466.400000000001</v>
      </c>
    </row>
    <row r="86" spans="1:13" s="89" customFormat="1" ht="18" customHeight="1">
      <c r="A86" s="60" t="s">
        <v>108</v>
      </c>
      <c r="B86" s="61" t="s">
        <v>200</v>
      </c>
      <c r="C86" s="62"/>
      <c r="D86" s="62"/>
      <c r="E86" s="62"/>
      <c r="F86" s="63"/>
      <c r="G86" s="64"/>
      <c r="H86" s="65"/>
      <c r="I86" s="65"/>
      <c r="J86" s="65"/>
      <c r="K86" s="65"/>
      <c r="L86" s="64"/>
      <c r="M86" s="64"/>
    </row>
    <row r="87" spans="1:13" s="89" customFormat="1" ht="18" customHeight="1">
      <c r="A87" s="66" t="s">
        <v>136</v>
      </c>
      <c r="B87" s="67" t="s">
        <v>202</v>
      </c>
      <c r="C87" s="68" t="s">
        <v>205</v>
      </c>
      <c r="D87" s="69" t="s">
        <v>51</v>
      </c>
      <c r="E87" s="70">
        <v>78.099999999999994</v>
      </c>
      <c r="F87" s="71">
        <v>32.880000000000003</v>
      </c>
      <c r="G87" s="151">
        <f t="shared" si="18"/>
        <v>2569.5</v>
      </c>
      <c r="H87" s="73">
        <v>-0.2</v>
      </c>
      <c r="I87" s="74">
        <f t="shared" si="21"/>
        <v>32.880000000000003</v>
      </c>
      <c r="J87" s="75">
        <f t="shared" ref="J87:J88" si="25">+M87-G87</f>
        <v>-6.5999999999999091</v>
      </c>
      <c r="K87" s="76">
        <f t="shared" ref="K87:K88" si="26">E87+H87</f>
        <v>77.899999999999991</v>
      </c>
      <c r="L87" s="77">
        <f t="shared" ref="L87:L88" si="27">+I87</f>
        <v>32.880000000000003</v>
      </c>
      <c r="M87" s="78">
        <f t="shared" ref="M87:M88" si="28">ROUND(ROUND(L87,1)*ROUND(K87,1),1)</f>
        <v>2562.9</v>
      </c>
    </row>
    <row r="88" spans="1:13" s="89" customFormat="1" ht="18" customHeight="1">
      <c r="A88" s="66" t="s">
        <v>138</v>
      </c>
      <c r="B88" s="67" t="s">
        <v>204</v>
      </c>
      <c r="C88" s="68" t="s">
        <v>206</v>
      </c>
      <c r="D88" s="69" t="s">
        <v>51</v>
      </c>
      <c r="E88" s="70">
        <v>78.099999999999994</v>
      </c>
      <c r="F88" s="71">
        <v>6.58</v>
      </c>
      <c r="G88" s="151">
        <f t="shared" si="18"/>
        <v>515.5</v>
      </c>
      <c r="H88" s="73">
        <v>-0.2</v>
      </c>
      <c r="I88" s="74">
        <f t="shared" si="21"/>
        <v>6.58</v>
      </c>
      <c r="J88" s="75">
        <f t="shared" si="25"/>
        <v>-1.3999999999999773</v>
      </c>
      <c r="K88" s="76">
        <f t="shared" si="26"/>
        <v>77.899999999999991</v>
      </c>
      <c r="L88" s="77">
        <f t="shared" si="27"/>
        <v>6.58</v>
      </c>
      <c r="M88" s="78">
        <f t="shared" si="28"/>
        <v>514.1</v>
      </c>
    </row>
    <row r="89" spans="1:13" s="89" customFormat="1" ht="18" customHeight="1">
      <c r="A89" s="60" t="s">
        <v>109</v>
      </c>
      <c r="B89" s="61" t="s">
        <v>207</v>
      </c>
      <c r="C89" s="62"/>
      <c r="D89" s="62"/>
      <c r="E89" s="62"/>
      <c r="F89" s="63"/>
      <c r="G89" s="64"/>
      <c r="H89" s="65"/>
      <c r="I89" s="65"/>
      <c r="J89" s="65"/>
      <c r="K89" s="65"/>
      <c r="L89" s="64"/>
      <c r="M89" s="64"/>
    </row>
    <row r="90" spans="1:13" s="89" customFormat="1" ht="18" customHeight="1">
      <c r="A90" s="66" t="s">
        <v>142</v>
      </c>
      <c r="B90" s="67" t="s">
        <v>211</v>
      </c>
      <c r="C90" s="68" t="s">
        <v>212</v>
      </c>
      <c r="D90" s="69" t="s">
        <v>180</v>
      </c>
      <c r="E90" s="70">
        <v>8.9</v>
      </c>
      <c r="F90" s="172">
        <v>3092.45</v>
      </c>
      <c r="G90" s="151">
        <f t="shared" si="18"/>
        <v>27523.3</v>
      </c>
      <c r="H90" s="73">
        <f>-(0.1925*0.2)</f>
        <v>-3.8500000000000006E-2</v>
      </c>
      <c r="I90" s="74">
        <f t="shared" si="21"/>
        <v>3092.45</v>
      </c>
      <c r="J90" s="75">
        <f>+M90-G90</f>
        <v>0</v>
      </c>
      <c r="K90" s="76">
        <f>E90+H90</f>
        <v>8.8614999999999995</v>
      </c>
      <c r="L90" s="77">
        <f t="shared" ref="L90" si="29">+I90</f>
        <v>3092.45</v>
      </c>
      <c r="M90" s="78">
        <f t="shared" ref="M90" si="30">ROUND(ROUND(L90,1)*ROUND(K90,1),1)</f>
        <v>27523.3</v>
      </c>
    </row>
    <row r="91" spans="1:13" s="89" customFormat="1" ht="18" customHeight="1">
      <c r="A91" s="60" t="s">
        <v>37</v>
      </c>
      <c r="B91" s="61" t="s">
        <v>38</v>
      </c>
      <c r="C91" s="62"/>
      <c r="D91" s="62"/>
      <c r="E91" s="62"/>
      <c r="F91" s="63"/>
      <c r="G91" s="64"/>
      <c r="H91" s="65"/>
      <c r="I91" s="65"/>
      <c r="J91" s="65"/>
      <c r="K91" s="65"/>
      <c r="L91" s="64"/>
      <c r="M91" s="64"/>
    </row>
    <row r="92" spans="1:13" s="89" customFormat="1" ht="18" customHeight="1">
      <c r="A92" s="66" t="s">
        <v>144</v>
      </c>
      <c r="B92" s="67" t="s">
        <v>214</v>
      </c>
      <c r="C92" s="68" t="s">
        <v>219</v>
      </c>
      <c r="D92" s="69" t="s">
        <v>36</v>
      </c>
      <c r="E92" s="70">
        <v>85.9</v>
      </c>
      <c r="F92" s="172">
        <v>155.66999999999999</v>
      </c>
      <c r="G92" s="151">
        <f t="shared" si="18"/>
        <v>13374.6</v>
      </c>
      <c r="H92" s="73">
        <v>-0.22</v>
      </c>
      <c r="I92" s="74">
        <f t="shared" si="21"/>
        <v>155.66999999999999</v>
      </c>
      <c r="J92" s="75">
        <f>+M92-G92</f>
        <v>-31.100000000000364</v>
      </c>
      <c r="K92" s="76">
        <f>E92+H92</f>
        <v>85.68</v>
      </c>
      <c r="L92" s="77">
        <f t="shared" ref="L92" si="31">+I92</f>
        <v>155.66999999999999</v>
      </c>
      <c r="M92" s="78">
        <f t="shared" ref="M92" si="32">ROUND(ROUND(L92,1)*ROUND(K92,1),1)</f>
        <v>13343.5</v>
      </c>
    </row>
    <row r="93" spans="1:13" s="89" customFormat="1" ht="18" customHeight="1">
      <c r="A93" s="60" t="s">
        <v>111</v>
      </c>
      <c r="B93" s="61" t="s">
        <v>259</v>
      </c>
      <c r="C93" s="62"/>
      <c r="D93" s="62"/>
      <c r="E93" s="62"/>
      <c r="F93" s="63"/>
      <c r="G93" s="64"/>
      <c r="H93" s="65"/>
      <c r="I93" s="65"/>
      <c r="J93" s="65"/>
      <c r="K93" s="65"/>
      <c r="L93" s="64"/>
      <c r="M93" s="64"/>
    </row>
    <row r="94" spans="1:13" s="89" customFormat="1" ht="18" customHeight="1">
      <c r="A94" s="66" t="s">
        <v>147</v>
      </c>
      <c r="B94" s="67" t="s">
        <v>222</v>
      </c>
      <c r="C94" s="68" t="s">
        <v>223</v>
      </c>
      <c r="D94" s="69" t="s">
        <v>51</v>
      </c>
      <c r="E94" s="70">
        <v>75.7</v>
      </c>
      <c r="F94" s="71">
        <v>52.87</v>
      </c>
      <c r="G94" s="151">
        <f t="shared" si="18"/>
        <v>4004.5</v>
      </c>
      <c r="H94" s="73">
        <v>-0.2</v>
      </c>
      <c r="I94" s="74">
        <f t="shared" si="21"/>
        <v>52.87</v>
      </c>
      <c r="J94" s="75">
        <f>+M94-G94</f>
        <v>-10.5</v>
      </c>
      <c r="K94" s="76">
        <f>E94+H94</f>
        <v>75.5</v>
      </c>
      <c r="L94" s="77">
        <f t="shared" ref="L94" si="33">+I94</f>
        <v>52.87</v>
      </c>
      <c r="M94" s="78">
        <f t="shared" ref="M94" si="34">ROUND(ROUND(L94,1)*ROUND(K94,1),1)</f>
        <v>3994</v>
      </c>
    </row>
    <row r="95" spans="1:13" s="89" customFormat="1" ht="18" customHeight="1">
      <c r="A95" s="60" t="s">
        <v>112</v>
      </c>
      <c r="B95" s="61" t="s">
        <v>224</v>
      </c>
      <c r="C95" s="62"/>
      <c r="D95" s="62"/>
      <c r="E95" s="62"/>
      <c r="F95" s="63"/>
      <c r="G95" s="64"/>
      <c r="H95" s="65"/>
      <c r="I95" s="65"/>
      <c r="J95" s="65"/>
      <c r="K95" s="65"/>
      <c r="L95" s="64"/>
      <c r="M95" s="64"/>
    </row>
    <row r="96" spans="1:13" s="89" customFormat="1" ht="23.1" customHeight="1">
      <c r="A96" s="66" t="s">
        <v>149</v>
      </c>
      <c r="B96" s="67" t="s">
        <v>225</v>
      </c>
      <c r="C96" s="68" t="s">
        <v>239</v>
      </c>
      <c r="D96" s="69" t="s">
        <v>51</v>
      </c>
      <c r="E96" s="70">
        <v>73.2</v>
      </c>
      <c r="F96" s="71">
        <v>552.39</v>
      </c>
      <c r="G96" s="151">
        <f t="shared" si="18"/>
        <v>40435.699999999997</v>
      </c>
      <c r="H96" s="73">
        <v>-0.2</v>
      </c>
      <c r="I96" s="74">
        <f t="shared" si="21"/>
        <v>552.39</v>
      </c>
      <c r="J96" s="75">
        <f t="shared" ref="J96:J98" si="35">+M96-G96</f>
        <v>-110.5</v>
      </c>
      <c r="K96" s="76">
        <f t="shared" ref="K96:K98" si="36">E96+H96</f>
        <v>73</v>
      </c>
      <c r="L96" s="77">
        <f t="shared" ref="L96:L98" si="37">+I96</f>
        <v>552.39</v>
      </c>
      <c r="M96" s="78">
        <f t="shared" ref="M96:M98" si="38">ROUND(ROUND(L96,1)*ROUND(K96,1),1)</f>
        <v>40325.199999999997</v>
      </c>
    </row>
    <row r="97" spans="1:14" s="89" customFormat="1" ht="23.1" customHeight="1">
      <c r="A97" s="66" t="s">
        <v>151</v>
      </c>
      <c r="B97" s="67" t="s">
        <v>227</v>
      </c>
      <c r="C97" s="68" t="s">
        <v>240</v>
      </c>
      <c r="D97" s="69" t="s">
        <v>51</v>
      </c>
      <c r="E97" s="70">
        <v>73.2</v>
      </c>
      <c r="F97" s="71">
        <v>1060.07</v>
      </c>
      <c r="G97" s="151">
        <f t="shared" si="18"/>
        <v>77599.3</v>
      </c>
      <c r="H97" s="73">
        <v>-0.2</v>
      </c>
      <c r="I97" s="74">
        <f t="shared" si="21"/>
        <v>1060.07</v>
      </c>
      <c r="J97" s="75">
        <f t="shared" si="35"/>
        <v>-212</v>
      </c>
      <c r="K97" s="76">
        <f t="shared" si="36"/>
        <v>73</v>
      </c>
      <c r="L97" s="77">
        <f t="shared" si="37"/>
        <v>1060.07</v>
      </c>
      <c r="M97" s="78">
        <f t="shared" si="38"/>
        <v>77387.3</v>
      </c>
    </row>
    <row r="98" spans="1:14" s="89" customFormat="1" ht="18" customHeight="1">
      <c r="A98" s="66" t="s">
        <v>203</v>
      </c>
      <c r="B98" s="67" t="s">
        <v>238</v>
      </c>
      <c r="C98" s="68" t="s">
        <v>241</v>
      </c>
      <c r="D98" s="69" t="s">
        <v>51</v>
      </c>
      <c r="E98" s="70">
        <v>75.7</v>
      </c>
      <c r="F98" s="172">
        <v>9.2100000000000009</v>
      </c>
      <c r="G98" s="151">
        <f t="shared" si="18"/>
        <v>696.4</v>
      </c>
      <c r="H98" s="73">
        <v>-0.2</v>
      </c>
      <c r="I98" s="74">
        <f t="shared" si="21"/>
        <v>9.2100000000000009</v>
      </c>
      <c r="J98" s="75">
        <f t="shared" si="35"/>
        <v>-1.7999999999999545</v>
      </c>
      <c r="K98" s="76">
        <f t="shared" si="36"/>
        <v>75.5</v>
      </c>
      <c r="L98" s="77">
        <f t="shared" si="37"/>
        <v>9.2100000000000009</v>
      </c>
      <c r="M98" s="78">
        <f t="shared" si="38"/>
        <v>694.6</v>
      </c>
    </row>
    <row r="99" spans="1:14" s="89" customFormat="1" ht="18" customHeight="1">
      <c r="A99" s="60" t="s">
        <v>0</v>
      </c>
      <c r="B99" s="61" t="s">
        <v>47</v>
      </c>
      <c r="C99" s="62"/>
      <c r="D99" s="62"/>
      <c r="E99" s="62"/>
      <c r="F99" s="63"/>
      <c r="G99" s="64"/>
      <c r="H99" s="65"/>
      <c r="I99" s="65"/>
      <c r="J99" s="65"/>
      <c r="K99" s="65"/>
      <c r="L99" s="64"/>
      <c r="M99" s="64"/>
    </row>
    <row r="100" spans="1:14" s="89" customFormat="1" ht="18" customHeight="1">
      <c r="A100" s="66" t="s">
        <v>208</v>
      </c>
      <c r="B100" s="67" t="s">
        <v>56</v>
      </c>
      <c r="C100" s="68" t="s">
        <v>57</v>
      </c>
      <c r="D100" s="69" t="s">
        <v>58</v>
      </c>
      <c r="E100" s="70">
        <v>43.5</v>
      </c>
      <c r="F100" s="71">
        <v>51.29</v>
      </c>
      <c r="G100" s="151">
        <f t="shared" si="18"/>
        <v>2231.6</v>
      </c>
      <c r="H100" s="73">
        <f>-(0.2*0.1*1.1)*1.7</f>
        <v>-3.740000000000001E-2</v>
      </c>
      <c r="I100" s="74">
        <f t="shared" si="21"/>
        <v>51.29</v>
      </c>
      <c r="J100" s="75">
        <f t="shared" ref="J100:J102" si="39">+M100-G100</f>
        <v>0</v>
      </c>
      <c r="K100" s="76">
        <f t="shared" ref="K100:K102" si="40">E100+H100</f>
        <v>43.462600000000002</v>
      </c>
      <c r="L100" s="77">
        <f t="shared" ref="L100:L102" si="41">+I100</f>
        <v>51.29</v>
      </c>
      <c r="M100" s="78">
        <f t="shared" ref="M100:M102" si="42">ROUND(ROUND(L100,1)*ROUND(K100,1),1)</f>
        <v>2231.6</v>
      </c>
    </row>
    <row r="101" spans="1:14" s="89" customFormat="1" ht="23.1" customHeight="1">
      <c r="A101" s="66" t="s">
        <v>209</v>
      </c>
      <c r="B101" s="67" t="s">
        <v>245</v>
      </c>
      <c r="C101" s="68" t="s">
        <v>247</v>
      </c>
      <c r="D101" s="69" t="s">
        <v>58</v>
      </c>
      <c r="E101" s="70">
        <v>43.5</v>
      </c>
      <c r="F101" s="71">
        <v>154.66999999999999</v>
      </c>
      <c r="G101" s="151">
        <f t="shared" si="18"/>
        <v>6729.5</v>
      </c>
      <c r="H101" s="73">
        <f>H100</f>
        <v>-3.740000000000001E-2</v>
      </c>
      <c r="I101" s="74">
        <f t="shared" si="21"/>
        <v>154.66999999999999</v>
      </c>
      <c r="J101" s="75">
        <f t="shared" si="39"/>
        <v>0</v>
      </c>
      <c r="K101" s="76">
        <f t="shared" si="40"/>
        <v>43.462600000000002</v>
      </c>
      <c r="L101" s="77">
        <f t="shared" si="41"/>
        <v>154.66999999999999</v>
      </c>
      <c r="M101" s="78">
        <f t="shared" si="42"/>
        <v>6729.5</v>
      </c>
    </row>
    <row r="102" spans="1:14" s="89" customFormat="1" ht="18" customHeight="1">
      <c r="A102" s="66" t="s">
        <v>71</v>
      </c>
      <c r="B102" s="67" t="s">
        <v>66</v>
      </c>
      <c r="C102" s="68" t="s">
        <v>64</v>
      </c>
      <c r="D102" s="69" t="s">
        <v>58</v>
      </c>
      <c r="E102" s="70">
        <v>43.5</v>
      </c>
      <c r="F102" s="71">
        <v>80.23</v>
      </c>
      <c r="G102" s="151">
        <f t="shared" si="18"/>
        <v>3488.7</v>
      </c>
      <c r="H102" s="73">
        <f>H101</f>
        <v>-3.740000000000001E-2</v>
      </c>
      <c r="I102" s="74">
        <f t="shared" si="21"/>
        <v>80.23</v>
      </c>
      <c r="J102" s="75">
        <f t="shared" si="39"/>
        <v>0</v>
      </c>
      <c r="K102" s="76">
        <f t="shared" si="40"/>
        <v>43.462600000000002</v>
      </c>
      <c r="L102" s="77">
        <f t="shared" si="41"/>
        <v>80.23</v>
      </c>
      <c r="M102" s="78">
        <f t="shared" si="42"/>
        <v>3488.7</v>
      </c>
    </row>
    <row r="103" spans="1:14" s="89" customFormat="1" ht="18" customHeight="1">
      <c r="A103" s="66"/>
      <c r="B103" s="67"/>
      <c r="C103" s="68"/>
      <c r="D103" s="69"/>
      <c r="E103" s="70"/>
      <c r="F103" s="71"/>
      <c r="G103" s="82">
        <f>SUM(G65:G102)</f>
        <v>636000.30000000005</v>
      </c>
      <c r="H103" s="83"/>
      <c r="I103" s="84"/>
      <c r="J103" s="85">
        <f>SUM(J65:J102)</f>
        <v>-1448.0999999999933</v>
      </c>
      <c r="K103" s="86"/>
      <c r="L103" s="87"/>
      <c r="M103" s="88">
        <f>SUM(M65:M102)</f>
        <v>634552.19999999995</v>
      </c>
    </row>
    <row r="104" spans="1:14" s="89" customFormat="1" ht="18" customHeight="1">
      <c r="A104" s="66"/>
      <c r="B104" s="67"/>
      <c r="C104" s="68"/>
      <c r="D104" s="69"/>
      <c r="E104" s="70"/>
      <c r="F104" s="71"/>
      <c r="G104" s="72"/>
      <c r="H104" s="73"/>
      <c r="I104" s="74"/>
      <c r="J104" s="75"/>
      <c r="K104" s="76"/>
      <c r="L104" s="77"/>
      <c r="M104" s="78"/>
    </row>
    <row r="105" spans="1:14" s="89" customFormat="1" ht="18" customHeight="1">
      <c r="A105" s="196" t="s">
        <v>267</v>
      </c>
      <c r="B105" s="197"/>
      <c r="C105" s="197"/>
      <c r="D105" s="197"/>
      <c r="E105" s="152"/>
      <c r="F105" s="40"/>
      <c r="G105" s="82"/>
      <c r="H105" s="83"/>
      <c r="I105" s="84"/>
      <c r="J105" s="85"/>
      <c r="K105" s="86"/>
      <c r="L105" s="87"/>
      <c r="M105" s="88"/>
    </row>
    <row r="106" spans="1:14" s="89" customFormat="1" ht="18" customHeight="1">
      <c r="A106" s="144"/>
      <c r="B106" s="144"/>
      <c r="C106" s="80"/>
      <c r="D106" s="80"/>
      <c r="E106" s="152"/>
      <c r="F106" s="40"/>
      <c r="G106" s="82"/>
      <c r="H106" s="83"/>
      <c r="I106" s="84"/>
      <c r="J106" s="85"/>
      <c r="K106" s="86"/>
      <c r="L106" s="87"/>
      <c r="M106" s="88"/>
    </row>
    <row r="107" spans="1:14" s="89" customFormat="1" ht="18" customHeight="1">
      <c r="A107" s="46" t="s">
        <v>268</v>
      </c>
      <c r="B107" s="47" t="s">
        <v>266</v>
      </c>
      <c r="C107" s="40"/>
      <c r="D107" s="40"/>
      <c r="E107" s="198" t="s">
        <v>1</v>
      </c>
      <c r="F107" s="198"/>
      <c r="G107" s="198"/>
      <c r="H107" s="199" t="s">
        <v>10</v>
      </c>
      <c r="I107" s="199"/>
      <c r="J107" s="199"/>
      <c r="K107" s="200" t="s">
        <v>11</v>
      </c>
      <c r="L107" s="200"/>
      <c r="M107" s="200"/>
      <c r="N107" s="166" t="s">
        <v>319</v>
      </c>
    </row>
    <row r="108" spans="1:14" s="89" customFormat="1" ht="26.1" customHeight="1">
      <c r="A108" s="48" t="s">
        <v>12</v>
      </c>
      <c r="B108" s="145" t="s">
        <v>13</v>
      </c>
      <c r="C108" s="48" t="s">
        <v>13</v>
      </c>
      <c r="D108" s="145" t="s">
        <v>14</v>
      </c>
      <c r="E108" s="146" t="s">
        <v>15</v>
      </c>
      <c r="F108" s="147" t="s">
        <v>16</v>
      </c>
      <c r="G108" s="52" t="s">
        <v>17</v>
      </c>
      <c r="H108" s="53" t="s">
        <v>15</v>
      </c>
      <c r="I108" s="54" t="s">
        <v>18</v>
      </c>
      <c r="J108" s="55" t="s">
        <v>17</v>
      </c>
      <c r="K108" s="56" t="s">
        <v>15</v>
      </c>
      <c r="L108" s="57" t="s">
        <v>18</v>
      </c>
      <c r="M108" s="58" t="s">
        <v>19</v>
      </c>
    </row>
    <row r="109" spans="1:14" s="89" customFormat="1" ht="18" customHeight="1">
      <c r="A109" s="60" t="s">
        <v>32</v>
      </c>
      <c r="B109" s="61" t="s">
        <v>33</v>
      </c>
      <c r="C109" s="62"/>
      <c r="D109" s="62"/>
      <c r="E109" s="62"/>
      <c r="F109" s="63"/>
      <c r="G109" s="64"/>
      <c r="H109" s="65"/>
      <c r="I109" s="65"/>
      <c r="J109" s="65"/>
      <c r="K109" s="64"/>
      <c r="L109" s="64"/>
      <c r="M109" s="64"/>
    </row>
    <row r="110" spans="1:14" s="89" customFormat="1" ht="23.1" customHeight="1">
      <c r="A110" s="66" t="s">
        <v>107</v>
      </c>
      <c r="B110" s="67" t="s">
        <v>121</v>
      </c>
      <c r="C110" s="68" t="s">
        <v>176</v>
      </c>
      <c r="D110" s="69" t="s">
        <v>36</v>
      </c>
      <c r="E110" s="70">
        <v>192</v>
      </c>
      <c r="F110" s="71">
        <v>23.67</v>
      </c>
      <c r="G110" s="151">
        <f t="shared" ref="G110:G146" si="43">ROUND(ROUND(F110,1)*ROUND(E110,1),1)</f>
        <v>4550.3999999999996</v>
      </c>
      <c r="H110" s="73">
        <f>-(7.5*1)</f>
        <v>-7.5</v>
      </c>
      <c r="I110" s="74">
        <f>F110</f>
        <v>23.67</v>
      </c>
      <c r="J110" s="75">
        <f t="shared" ref="J110:J130" si="44">+M110-G110</f>
        <v>-177.69999999999982</v>
      </c>
      <c r="K110" s="76">
        <f t="shared" ref="K110:K130" si="45">E110+H110</f>
        <v>184.5</v>
      </c>
      <c r="L110" s="77">
        <f t="shared" ref="L110:L130" si="46">+I110</f>
        <v>23.67</v>
      </c>
      <c r="M110" s="78">
        <f t="shared" ref="M110:M130" si="47">ROUND(ROUND(L110,1)*ROUND(K110,1),1)</f>
        <v>4372.7</v>
      </c>
    </row>
    <row r="111" spans="1:14" s="89" customFormat="1" ht="18" customHeight="1">
      <c r="A111" s="66" t="s">
        <v>113</v>
      </c>
      <c r="B111" s="67" t="s">
        <v>262</v>
      </c>
      <c r="C111" s="68" t="s">
        <v>264</v>
      </c>
      <c r="D111" s="69" t="s">
        <v>180</v>
      </c>
      <c r="E111" s="70">
        <v>79.5</v>
      </c>
      <c r="F111" s="71">
        <v>257.77999999999997</v>
      </c>
      <c r="G111" s="151">
        <f t="shared" si="43"/>
        <v>20495.099999999999</v>
      </c>
      <c r="H111" s="73">
        <f>-(7.5*1*1.5)*0.4</f>
        <v>-4.5</v>
      </c>
      <c r="I111" s="74">
        <f t="shared" ref="I111:I146" si="48">F111</f>
        <v>257.77999999999997</v>
      </c>
      <c r="J111" s="75">
        <f t="shared" si="44"/>
        <v>-1160.0999999999985</v>
      </c>
      <c r="K111" s="76">
        <f t="shared" si="45"/>
        <v>75</v>
      </c>
      <c r="L111" s="77">
        <f t="shared" si="46"/>
        <v>257.77999999999997</v>
      </c>
      <c r="M111" s="78">
        <f t="shared" si="47"/>
        <v>19335</v>
      </c>
    </row>
    <row r="112" spans="1:14" s="89" customFormat="1" ht="18" customHeight="1">
      <c r="A112" s="66" t="s">
        <v>114</v>
      </c>
      <c r="B112" s="67" t="s">
        <v>137</v>
      </c>
      <c r="C112" s="68" t="s">
        <v>182</v>
      </c>
      <c r="D112" s="69" t="s">
        <v>180</v>
      </c>
      <c r="E112" s="70">
        <v>79.5</v>
      </c>
      <c r="F112" s="71">
        <v>13.15</v>
      </c>
      <c r="G112" s="151">
        <f t="shared" si="43"/>
        <v>1049.4000000000001</v>
      </c>
      <c r="H112" s="73">
        <f t="shared" ref="H112" si="49">-(7.5*1*1.5)*0.4</f>
        <v>-4.5</v>
      </c>
      <c r="I112" s="74">
        <f t="shared" si="48"/>
        <v>13.15</v>
      </c>
      <c r="J112" s="75">
        <f t="shared" si="44"/>
        <v>-59.400000000000091</v>
      </c>
      <c r="K112" s="76">
        <f t="shared" si="45"/>
        <v>75</v>
      </c>
      <c r="L112" s="77">
        <f t="shared" si="46"/>
        <v>13.15</v>
      </c>
      <c r="M112" s="78">
        <f t="shared" si="47"/>
        <v>990</v>
      </c>
    </row>
    <row r="113" spans="1:13" s="89" customFormat="1" ht="18" customHeight="1">
      <c r="A113" s="66" t="s">
        <v>115</v>
      </c>
      <c r="B113" s="67" t="s">
        <v>263</v>
      </c>
      <c r="C113" s="68" t="s">
        <v>265</v>
      </c>
      <c r="D113" s="69" t="s">
        <v>180</v>
      </c>
      <c r="E113" s="70">
        <v>85.5</v>
      </c>
      <c r="F113" s="71">
        <v>315.64999999999998</v>
      </c>
      <c r="G113" s="151">
        <f t="shared" si="43"/>
        <v>26992.400000000001</v>
      </c>
      <c r="H113" s="73">
        <f>-(7.5*1*1.5)*0.45</f>
        <v>-5.0625</v>
      </c>
      <c r="I113" s="74">
        <f t="shared" si="48"/>
        <v>315.64999999999998</v>
      </c>
      <c r="J113" s="75">
        <f t="shared" si="44"/>
        <v>-1610.1000000000022</v>
      </c>
      <c r="K113" s="76">
        <f t="shared" si="45"/>
        <v>80.4375</v>
      </c>
      <c r="L113" s="77">
        <f t="shared" si="46"/>
        <v>315.64999999999998</v>
      </c>
      <c r="M113" s="78">
        <f t="shared" si="47"/>
        <v>25382.3</v>
      </c>
    </row>
    <row r="114" spans="1:13" s="89" customFormat="1" ht="18" customHeight="1">
      <c r="A114" s="66" t="s">
        <v>116</v>
      </c>
      <c r="B114" s="67" t="s">
        <v>141</v>
      </c>
      <c r="C114" s="68" t="s">
        <v>184</v>
      </c>
      <c r="D114" s="69" t="s">
        <v>180</v>
      </c>
      <c r="E114" s="70">
        <v>85.5</v>
      </c>
      <c r="F114" s="71">
        <v>15.78</v>
      </c>
      <c r="G114" s="151">
        <f t="shared" si="43"/>
        <v>1350.9</v>
      </c>
      <c r="H114" s="73">
        <f>-(7.5*1*1.5)*0.45</f>
        <v>-5.0625</v>
      </c>
      <c r="I114" s="74">
        <f t="shared" si="48"/>
        <v>15.78</v>
      </c>
      <c r="J114" s="75">
        <f t="shared" si="44"/>
        <v>-80.600000000000136</v>
      </c>
      <c r="K114" s="76">
        <f t="shared" si="45"/>
        <v>80.4375</v>
      </c>
      <c r="L114" s="77">
        <f t="shared" si="46"/>
        <v>15.78</v>
      </c>
      <c r="M114" s="78">
        <f t="shared" si="47"/>
        <v>1270.3</v>
      </c>
    </row>
    <row r="115" spans="1:13" s="89" customFormat="1" ht="23.1" customHeight="1">
      <c r="A115" s="66" t="s">
        <v>117</v>
      </c>
      <c r="B115" s="67" t="s">
        <v>143</v>
      </c>
      <c r="C115" s="68" t="s">
        <v>185</v>
      </c>
      <c r="D115" s="69" t="s">
        <v>180</v>
      </c>
      <c r="E115" s="70">
        <v>9.9</v>
      </c>
      <c r="F115" s="71">
        <v>1569.06</v>
      </c>
      <c r="G115" s="151">
        <f t="shared" si="43"/>
        <v>15534.1</v>
      </c>
      <c r="H115" s="73">
        <f>-(7.5*1*1.5)*0.05</f>
        <v>-0.5625</v>
      </c>
      <c r="I115" s="74">
        <f t="shared" si="48"/>
        <v>1569.06</v>
      </c>
      <c r="J115" s="75">
        <f t="shared" si="44"/>
        <v>-941.5</v>
      </c>
      <c r="K115" s="76">
        <f t="shared" si="45"/>
        <v>9.3375000000000004</v>
      </c>
      <c r="L115" s="77">
        <f t="shared" si="46"/>
        <v>1569.06</v>
      </c>
      <c r="M115" s="78">
        <f t="shared" si="47"/>
        <v>14592.6</v>
      </c>
    </row>
    <row r="116" spans="1:13" s="89" customFormat="1" ht="23.1" customHeight="1">
      <c r="A116" s="66" t="s">
        <v>118</v>
      </c>
      <c r="B116" s="67" t="s">
        <v>145</v>
      </c>
      <c r="C116" s="68" t="s">
        <v>186</v>
      </c>
      <c r="D116" s="69" t="s">
        <v>180</v>
      </c>
      <c r="E116" s="70">
        <v>23.8</v>
      </c>
      <c r="F116" s="71">
        <v>2149.0700000000002</v>
      </c>
      <c r="G116" s="151">
        <f t="shared" si="43"/>
        <v>51148.6</v>
      </c>
      <c r="H116" s="73">
        <f>-(7.5*1*1.5)*0.1</f>
        <v>-1.125</v>
      </c>
      <c r="I116" s="74">
        <f t="shared" si="48"/>
        <v>2149.0700000000002</v>
      </c>
      <c r="J116" s="75">
        <f t="shared" si="44"/>
        <v>-2364</v>
      </c>
      <c r="K116" s="76">
        <f t="shared" si="45"/>
        <v>22.675000000000001</v>
      </c>
      <c r="L116" s="77">
        <f t="shared" si="46"/>
        <v>2149.0700000000002</v>
      </c>
      <c r="M116" s="78">
        <f t="shared" si="47"/>
        <v>48784.6</v>
      </c>
    </row>
    <row r="117" spans="1:13" s="89" customFormat="1" ht="18" customHeight="1">
      <c r="A117" s="66" t="s">
        <v>120</v>
      </c>
      <c r="B117" s="67" t="s">
        <v>148</v>
      </c>
      <c r="C117" s="68" t="s">
        <v>187</v>
      </c>
      <c r="D117" s="69" t="s">
        <v>36</v>
      </c>
      <c r="E117" s="70">
        <v>454.7</v>
      </c>
      <c r="F117" s="71">
        <v>99.96</v>
      </c>
      <c r="G117" s="151">
        <f t="shared" si="43"/>
        <v>45470</v>
      </c>
      <c r="H117" s="73">
        <f>-(7.5*2*1.6)</f>
        <v>-24</v>
      </c>
      <c r="I117" s="74">
        <f t="shared" si="48"/>
        <v>99.96</v>
      </c>
      <c r="J117" s="75">
        <f t="shared" si="44"/>
        <v>-2400</v>
      </c>
      <c r="K117" s="76">
        <f t="shared" si="45"/>
        <v>430.7</v>
      </c>
      <c r="L117" s="77">
        <f t="shared" si="46"/>
        <v>99.96</v>
      </c>
      <c r="M117" s="78">
        <f t="shared" si="47"/>
        <v>43070</v>
      </c>
    </row>
    <row r="118" spans="1:13" s="89" customFormat="1" ht="18" customHeight="1">
      <c r="A118" s="66" t="s">
        <v>122</v>
      </c>
      <c r="B118" s="67" t="s">
        <v>150</v>
      </c>
      <c r="C118" s="68" t="s">
        <v>188</v>
      </c>
      <c r="D118" s="69" t="s">
        <v>36</v>
      </c>
      <c r="E118" s="70">
        <v>454.7</v>
      </c>
      <c r="F118" s="71">
        <v>149.94</v>
      </c>
      <c r="G118" s="151">
        <f t="shared" si="43"/>
        <v>68159.5</v>
      </c>
      <c r="H118" s="73">
        <f>-(7.5*2*1.6)</f>
        <v>-24</v>
      </c>
      <c r="I118" s="74">
        <f t="shared" si="48"/>
        <v>149.94</v>
      </c>
      <c r="J118" s="75">
        <f t="shared" si="44"/>
        <v>-3597.5999999999985</v>
      </c>
      <c r="K118" s="76">
        <f t="shared" si="45"/>
        <v>430.7</v>
      </c>
      <c r="L118" s="77">
        <f t="shared" si="46"/>
        <v>149.94</v>
      </c>
      <c r="M118" s="78">
        <f t="shared" si="47"/>
        <v>64561.9</v>
      </c>
    </row>
    <row r="119" spans="1:13" s="89" customFormat="1" ht="18" customHeight="1">
      <c r="A119" s="66" t="s">
        <v>124</v>
      </c>
      <c r="B119" s="67" t="s">
        <v>252</v>
      </c>
      <c r="C119" s="68" t="s">
        <v>256</v>
      </c>
      <c r="D119" s="69" t="s">
        <v>180</v>
      </c>
      <c r="E119" s="70">
        <v>165</v>
      </c>
      <c r="F119" s="71">
        <v>13.15</v>
      </c>
      <c r="G119" s="151">
        <f t="shared" si="43"/>
        <v>2178</v>
      </c>
      <c r="H119" s="73">
        <f>H111+H113</f>
        <v>-9.5625</v>
      </c>
      <c r="I119" s="74">
        <f t="shared" si="48"/>
        <v>13.15</v>
      </c>
      <c r="J119" s="75">
        <f t="shared" si="44"/>
        <v>-126.69999999999982</v>
      </c>
      <c r="K119" s="76">
        <f t="shared" si="45"/>
        <v>155.4375</v>
      </c>
      <c r="L119" s="77">
        <f t="shared" si="46"/>
        <v>13.15</v>
      </c>
      <c r="M119" s="78">
        <f t="shared" si="47"/>
        <v>2051.3000000000002</v>
      </c>
    </row>
    <row r="120" spans="1:13" s="89" customFormat="1" ht="18" customHeight="1">
      <c r="A120" s="66" t="s">
        <v>34</v>
      </c>
      <c r="B120" s="67" t="s">
        <v>269</v>
      </c>
      <c r="C120" s="68" t="s">
        <v>272</v>
      </c>
      <c r="D120" s="69" t="s">
        <v>180</v>
      </c>
      <c r="E120" s="70">
        <v>37.799999999999997</v>
      </c>
      <c r="F120" s="71">
        <v>19.73</v>
      </c>
      <c r="G120" s="151">
        <f t="shared" si="43"/>
        <v>744.7</v>
      </c>
      <c r="H120" s="73">
        <f>H115+H116</f>
        <v>-1.6875</v>
      </c>
      <c r="I120" s="74">
        <f t="shared" si="48"/>
        <v>19.73</v>
      </c>
      <c r="J120" s="75">
        <f t="shared" si="44"/>
        <v>-33.5</v>
      </c>
      <c r="K120" s="76">
        <f t="shared" si="45"/>
        <v>36.112499999999997</v>
      </c>
      <c r="L120" s="77">
        <f t="shared" si="46"/>
        <v>19.73</v>
      </c>
      <c r="M120" s="78">
        <f t="shared" si="47"/>
        <v>711.2</v>
      </c>
    </row>
    <row r="121" spans="1:13" s="89" customFormat="1" ht="18" customHeight="1">
      <c r="A121" s="66" t="s">
        <v>126</v>
      </c>
      <c r="B121" s="67" t="s">
        <v>270</v>
      </c>
      <c r="C121" s="68" t="s">
        <v>273</v>
      </c>
      <c r="D121" s="69" t="s">
        <v>180</v>
      </c>
      <c r="E121" s="70">
        <v>32.6</v>
      </c>
      <c r="F121" s="71">
        <v>44.72</v>
      </c>
      <c r="G121" s="151">
        <f t="shared" si="43"/>
        <v>1457.2</v>
      </c>
      <c r="H121" s="73">
        <f>H119</f>
        <v>-9.5625</v>
      </c>
      <c r="I121" s="74">
        <f t="shared" si="48"/>
        <v>44.72</v>
      </c>
      <c r="J121" s="75">
        <f t="shared" si="44"/>
        <v>-429.10000000000014</v>
      </c>
      <c r="K121" s="76">
        <f t="shared" si="45"/>
        <v>23.037500000000001</v>
      </c>
      <c r="L121" s="77">
        <f t="shared" si="46"/>
        <v>44.72</v>
      </c>
      <c r="M121" s="78">
        <f t="shared" si="47"/>
        <v>1028.0999999999999</v>
      </c>
    </row>
    <row r="122" spans="1:13" s="89" customFormat="1" ht="18" customHeight="1">
      <c r="A122" s="66" t="s">
        <v>129</v>
      </c>
      <c r="B122" s="67" t="s">
        <v>253</v>
      </c>
      <c r="C122" s="68" t="s">
        <v>257</v>
      </c>
      <c r="D122" s="69" t="s">
        <v>180</v>
      </c>
      <c r="E122" s="70">
        <v>37.799999999999997</v>
      </c>
      <c r="F122" s="71">
        <v>51.29</v>
      </c>
      <c r="G122" s="151">
        <f t="shared" si="43"/>
        <v>1939.1</v>
      </c>
      <c r="H122" s="73">
        <f>H120</f>
        <v>-1.6875</v>
      </c>
      <c r="I122" s="74">
        <f t="shared" si="48"/>
        <v>51.29</v>
      </c>
      <c r="J122" s="75">
        <f t="shared" si="44"/>
        <v>-87.199999999999818</v>
      </c>
      <c r="K122" s="76">
        <f t="shared" si="45"/>
        <v>36.112499999999997</v>
      </c>
      <c r="L122" s="77">
        <f t="shared" si="46"/>
        <v>51.29</v>
      </c>
      <c r="M122" s="78">
        <f t="shared" si="47"/>
        <v>1851.9</v>
      </c>
    </row>
    <row r="123" spans="1:13" s="89" customFormat="1" ht="18" customHeight="1">
      <c r="A123" s="66" t="s">
        <v>131</v>
      </c>
      <c r="B123" s="67" t="s">
        <v>159</v>
      </c>
      <c r="C123" s="68" t="s">
        <v>193</v>
      </c>
      <c r="D123" s="69" t="s">
        <v>180</v>
      </c>
      <c r="E123" s="70">
        <v>301.2</v>
      </c>
      <c r="F123" s="71">
        <v>11.84</v>
      </c>
      <c r="G123" s="151">
        <f t="shared" si="43"/>
        <v>3554.2</v>
      </c>
      <c r="H123" s="73">
        <f>H119+H120</f>
        <v>-11.25</v>
      </c>
      <c r="I123" s="74">
        <f t="shared" si="48"/>
        <v>11.84</v>
      </c>
      <c r="J123" s="75">
        <f t="shared" si="44"/>
        <v>-132.19999999999982</v>
      </c>
      <c r="K123" s="76">
        <f t="shared" si="45"/>
        <v>289.95</v>
      </c>
      <c r="L123" s="77">
        <f t="shared" si="46"/>
        <v>11.84</v>
      </c>
      <c r="M123" s="78">
        <f t="shared" si="47"/>
        <v>3422</v>
      </c>
    </row>
    <row r="124" spans="1:13" s="89" customFormat="1" ht="18" customHeight="1">
      <c r="A124" s="66" t="s">
        <v>132</v>
      </c>
      <c r="B124" s="67" t="s">
        <v>159</v>
      </c>
      <c r="C124" s="68" t="s">
        <v>193</v>
      </c>
      <c r="D124" s="69" t="s">
        <v>180</v>
      </c>
      <c r="E124" s="70">
        <v>168.8</v>
      </c>
      <c r="F124" s="71">
        <v>11.84</v>
      </c>
      <c r="G124" s="151">
        <f t="shared" si="43"/>
        <v>1991.8</v>
      </c>
      <c r="H124" s="73">
        <f>H127+H132</f>
        <v>-3.75</v>
      </c>
      <c r="I124" s="74">
        <f t="shared" si="48"/>
        <v>11.84</v>
      </c>
      <c r="J124" s="75">
        <f t="shared" si="44"/>
        <v>-43.599999999999909</v>
      </c>
      <c r="K124" s="76">
        <f t="shared" si="45"/>
        <v>165.05</v>
      </c>
      <c r="L124" s="77">
        <f t="shared" si="46"/>
        <v>11.84</v>
      </c>
      <c r="M124" s="78">
        <f t="shared" si="47"/>
        <v>1948.2</v>
      </c>
    </row>
    <row r="125" spans="1:13" s="89" customFormat="1" ht="18" customHeight="1">
      <c r="A125" s="66" t="s">
        <v>133</v>
      </c>
      <c r="B125" s="67" t="s">
        <v>162</v>
      </c>
      <c r="C125" s="68" t="s">
        <v>194</v>
      </c>
      <c r="D125" s="69" t="s">
        <v>58</v>
      </c>
      <c r="E125" s="70">
        <v>275.5</v>
      </c>
      <c r="F125" s="71">
        <v>116</v>
      </c>
      <c r="G125" s="151">
        <f t="shared" si="43"/>
        <v>31958</v>
      </c>
      <c r="H125" s="73">
        <f>H124*2</f>
        <v>-7.5</v>
      </c>
      <c r="I125" s="74">
        <f t="shared" si="48"/>
        <v>116</v>
      </c>
      <c r="J125" s="75">
        <f t="shared" si="44"/>
        <v>-870</v>
      </c>
      <c r="K125" s="76">
        <f t="shared" si="45"/>
        <v>268</v>
      </c>
      <c r="L125" s="77">
        <f t="shared" si="46"/>
        <v>116</v>
      </c>
      <c r="M125" s="78">
        <f t="shared" si="47"/>
        <v>31088</v>
      </c>
    </row>
    <row r="126" spans="1:13" s="89" customFormat="1" ht="23.1" customHeight="1">
      <c r="A126" s="66" t="s">
        <v>134</v>
      </c>
      <c r="B126" s="67" t="s">
        <v>164</v>
      </c>
      <c r="C126" s="68" t="s">
        <v>195</v>
      </c>
      <c r="D126" s="69" t="s">
        <v>180</v>
      </c>
      <c r="E126" s="70">
        <v>132.4</v>
      </c>
      <c r="F126" s="71">
        <v>286.72000000000003</v>
      </c>
      <c r="G126" s="151">
        <f t="shared" si="43"/>
        <v>37959.1</v>
      </c>
      <c r="H126" s="73">
        <f>-(1*1*7.5)</f>
        <v>-7.5</v>
      </c>
      <c r="I126" s="74">
        <f t="shared" si="48"/>
        <v>286.72000000000003</v>
      </c>
      <c r="J126" s="75">
        <f t="shared" si="44"/>
        <v>-2150.2999999999956</v>
      </c>
      <c r="K126" s="76">
        <f t="shared" si="45"/>
        <v>124.9</v>
      </c>
      <c r="L126" s="77">
        <f t="shared" si="46"/>
        <v>286.72000000000003</v>
      </c>
      <c r="M126" s="78">
        <f t="shared" si="47"/>
        <v>35808.800000000003</v>
      </c>
    </row>
    <row r="127" spans="1:13" s="89" customFormat="1" ht="23.1" customHeight="1">
      <c r="A127" s="66" t="s">
        <v>136</v>
      </c>
      <c r="B127" s="67" t="s">
        <v>166</v>
      </c>
      <c r="C127" s="68" t="s">
        <v>196</v>
      </c>
      <c r="D127" s="69" t="s">
        <v>180</v>
      </c>
      <c r="E127" s="70">
        <v>52</v>
      </c>
      <c r="F127" s="71">
        <v>318.27999999999997</v>
      </c>
      <c r="G127" s="151">
        <f t="shared" si="43"/>
        <v>16551.599999999999</v>
      </c>
      <c r="H127" s="73">
        <f>-(0.4*1*7.5)</f>
        <v>-3</v>
      </c>
      <c r="I127" s="74">
        <f t="shared" si="48"/>
        <v>318.27999999999997</v>
      </c>
      <c r="J127" s="75">
        <f t="shared" si="44"/>
        <v>-954.89999999999782</v>
      </c>
      <c r="K127" s="76">
        <f t="shared" si="45"/>
        <v>49</v>
      </c>
      <c r="L127" s="77">
        <f t="shared" si="46"/>
        <v>318.27999999999997</v>
      </c>
      <c r="M127" s="78">
        <f t="shared" si="47"/>
        <v>15596.7</v>
      </c>
    </row>
    <row r="128" spans="1:13" s="89" customFormat="1" ht="18" customHeight="1">
      <c r="A128" s="66" t="s">
        <v>142</v>
      </c>
      <c r="B128" s="67" t="s">
        <v>271</v>
      </c>
      <c r="C128" s="68" t="s">
        <v>274</v>
      </c>
      <c r="D128" s="69" t="s">
        <v>58</v>
      </c>
      <c r="E128" s="70">
        <v>216</v>
      </c>
      <c r="F128" s="71">
        <v>190.76</v>
      </c>
      <c r="G128" s="151">
        <f t="shared" si="43"/>
        <v>41212.800000000003</v>
      </c>
      <c r="H128" s="73">
        <f>H127*2</f>
        <v>-6</v>
      </c>
      <c r="I128" s="74">
        <f t="shared" si="48"/>
        <v>190.76</v>
      </c>
      <c r="J128" s="75">
        <f t="shared" si="44"/>
        <v>-1144.8000000000029</v>
      </c>
      <c r="K128" s="76">
        <f t="shared" si="45"/>
        <v>210</v>
      </c>
      <c r="L128" s="77">
        <f t="shared" si="46"/>
        <v>190.76</v>
      </c>
      <c r="M128" s="78">
        <f t="shared" si="47"/>
        <v>40068</v>
      </c>
    </row>
    <row r="129" spans="1:13" s="89" customFormat="1" ht="18" customHeight="1">
      <c r="A129" s="66" t="s">
        <v>87</v>
      </c>
      <c r="B129" s="67" t="s">
        <v>172</v>
      </c>
      <c r="C129" s="68" t="s">
        <v>198</v>
      </c>
      <c r="D129" s="69" t="s">
        <v>180</v>
      </c>
      <c r="E129" s="70">
        <v>221</v>
      </c>
      <c r="F129" s="71">
        <v>160.46</v>
      </c>
      <c r="G129" s="151">
        <f t="shared" si="43"/>
        <v>35470.5</v>
      </c>
      <c r="H129" s="73">
        <f>H123</f>
        <v>-11.25</v>
      </c>
      <c r="I129" s="74">
        <f t="shared" si="48"/>
        <v>160.46</v>
      </c>
      <c r="J129" s="75">
        <f t="shared" si="44"/>
        <v>-1797.5999999999985</v>
      </c>
      <c r="K129" s="76">
        <f t="shared" si="45"/>
        <v>209.75</v>
      </c>
      <c r="L129" s="77">
        <f t="shared" si="46"/>
        <v>160.46</v>
      </c>
      <c r="M129" s="78">
        <f t="shared" si="47"/>
        <v>33672.9</v>
      </c>
    </row>
    <row r="130" spans="1:13" s="89" customFormat="1" ht="18" customHeight="1">
      <c r="A130" s="66" t="s">
        <v>236</v>
      </c>
      <c r="B130" s="67" t="s">
        <v>175</v>
      </c>
      <c r="C130" s="68" t="s">
        <v>199</v>
      </c>
      <c r="D130" s="69" t="s">
        <v>180</v>
      </c>
      <c r="E130" s="70">
        <v>37.799999999999997</v>
      </c>
      <c r="F130" s="71">
        <v>247.39</v>
      </c>
      <c r="G130" s="151">
        <f t="shared" si="43"/>
        <v>9351.7000000000007</v>
      </c>
      <c r="H130" s="73">
        <f>H124</f>
        <v>-3.75</v>
      </c>
      <c r="I130" s="74">
        <f t="shared" si="48"/>
        <v>247.39</v>
      </c>
      <c r="J130" s="75">
        <f t="shared" si="44"/>
        <v>-915.40000000000146</v>
      </c>
      <c r="K130" s="76">
        <f t="shared" si="45"/>
        <v>34.049999999999997</v>
      </c>
      <c r="L130" s="77">
        <f t="shared" si="46"/>
        <v>247.39</v>
      </c>
      <c r="M130" s="78">
        <f t="shared" si="47"/>
        <v>8436.2999999999993</v>
      </c>
    </row>
    <row r="131" spans="1:13" s="89" customFormat="1" ht="18" customHeight="1">
      <c r="A131" s="60" t="s">
        <v>109</v>
      </c>
      <c r="B131" s="61" t="s">
        <v>207</v>
      </c>
      <c r="C131" s="62"/>
      <c r="D131" s="62"/>
      <c r="E131" s="62"/>
      <c r="F131" s="63"/>
      <c r="G131" s="64"/>
      <c r="H131" s="65"/>
      <c r="I131" s="65"/>
      <c r="J131" s="65"/>
      <c r="K131" s="65"/>
      <c r="L131" s="64"/>
      <c r="M131" s="64"/>
    </row>
    <row r="132" spans="1:13" s="89" customFormat="1" ht="18" customHeight="1">
      <c r="A132" s="66" t="s">
        <v>146</v>
      </c>
      <c r="B132" s="67" t="s">
        <v>275</v>
      </c>
      <c r="C132" s="68" t="s">
        <v>276</v>
      </c>
      <c r="D132" s="69" t="s">
        <v>180</v>
      </c>
      <c r="E132" s="70">
        <v>13.4</v>
      </c>
      <c r="F132" s="172">
        <v>644.70000000000005</v>
      </c>
      <c r="G132" s="151">
        <f t="shared" si="43"/>
        <v>8639</v>
      </c>
      <c r="H132" s="73">
        <f>-(7.5*1*0.1)</f>
        <v>-0.75</v>
      </c>
      <c r="I132" s="74">
        <f t="shared" si="48"/>
        <v>644.70000000000005</v>
      </c>
      <c r="J132" s="75">
        <f>+M132-G132</f>
        <v>-451.30000000000018</v>
      </c>
      <c r="K132" s="76">
        <f>E132+H132</f>
        <v>12.65</v>
      </c>
      <c r="L132" s="77">
        <f t="shared" ref="L132" si="50">+I132</f>
        <v>644.70000000000005</v>
      </c>
      <c r="M132" s="78">
        <f t="shared" ref="M132" si="51">ROUND(ROUND(L132,1)*ROUND(K132,1),1)</f>
        <v>8187.7</v>
      </c>
    </row>
    <row r="133" spans="1:13" s="89" customFormat="1" ht="18" customHeight="1">
      <c r="A133" s="60" t="s">
        <v>37</v>
      </c>
      <c r="B133" s="61" t="s">
        <v>38</v>
      </c>
      <c r="C133" s="62"/>
      <c r="D133" s="62"/>
      <c r="E133" s="62"/>
      <c r="F133" s="63"/>
      <c r="G133" s="64"/>
      <c r="H133" s="65"/>
      <c r="I133" s="65"/>
      <c r="J133" s="65"/>
      <c r="K133" s="65"/>
      <c r="L133" s="64"/>
      <c r="M133" s="64"/>
    </row>
    <row r="134" spans="1:13" s="89" customFormat="1" ht="18" customHeight="1">
      <c r="A134" s="66" t="s">
        <v>151</v>
      </c>
      <c r="B134" s="67" t="s">
        <v>214</v>
      </c>
      <c r="C134" s="68" t="s">
        <v>219</v>
      </c>
      <c r="D134" s="69" t="s">
        <v>36</v>
      </c>
      <c r="E134" s="70">
        <v>139.19999999999999</v>
      </c>
      <c r="F134" s="172">
        <v>155.66999999999999</v>
      </c>
      <c r="G134" s="151">
        <f t="shared" si="43"/>
        <v>21673.4</v>
      </c>
      <c r="H134" s="73">
        <f>H110</f>
        <v>-7.5</v>
      </c>
      <c r="I134" s="74">
        <f t="shared" si="48"/>
        <v>155.66999999999999</v>
      </c>
      <c r="J134" s="75">
        <f>+M134-G134</f>
        <v>-1167.7000000000007</v>
      </c>
      <c r="K134" s="76">
        <f>E134+H134</f>
        <v>131.69999999999999</v>
      </c>
      <c r="L134" s="77">
        <f t="shared" ref="L134" si="52">+I134</f>
        <v>155.66999999999999</v>
      </c>
      <c r="M134" s="78">
        <f t="shared" ref="M134" si="53">ROUND(ROUND(L134,1)*ROUND(K134,1),1)</f>
        <v>20505.7</v>
      </c>
    </row>
    <row r="135" spans="1:13" s="89" customFormat="1" ht="18" customHeight="1">
      <c r="A135" s="60" t="s">
        <v>112</v>
      </c>
      <c r="B135" s="61" t="s">
        <v>224</v>
      </c>
      <c r="C135" s="62"/>
      <c r="D135" s="62"/>
      <c r="E135" s="62"/>
      <c r="F135" s="63"/>
      <c r="G135" s="64"/>
      <c r="H135" s="65"/>
      <c r="I135" s="65"/>
      <c r="J135" s="65"/>
      <c r="K135" s="65"/>
      <c r="L135" s="64"/>
      <c r="M135" s="64"/>
    </row>
    <row r="136" spans="1:13" s="89" customFormat="1" ht="23.1" customHeight="1">
      <c r="A136" s="66" t="s">
        <v>165</v>
      </c>
      <c r="B136" s="67" t="s">
        <v>277</v>
      </c>
      <c r="C136" s="68" t="s">
        <v>282</v>
      </c>
      <c r="D136" s="69" t="s">
        <v>51</v>
      </c>
      <c r="E136" s="70">
        <v>125.7</v>
      </c>
      <c r="F136" s="71">
        <v>220.96</v>
      </c>
      <c r="G136" s="151">
        <f t="shared" si="43"/>
        <v>27779.7</v>
      </c>
      <c r="H136" s="73">
        <v>-7.5</v>
      </c>
      <c r="I136" s="74">
        <f t="shared" si="48"/>
        <v>220.96</v>
      </c>
      <c r="J136" s="75">
        <f t="shared" ref="J136:J141" si="54">+M136-G136</f>
        <v>-1657.5</v>
      </c>
      <c r="K136" s="76">
        <f t="shared" ref="K136:K141" si="55">E136+H136</f>
        <v>118.2</v>
      </c>
      <c r="L136" s="77">
        <f t="shared" ref="L136:L141" si="56">+I136</f>
        <v>220.96</v>
      </c>
      <c r="M136" s="78">
        <f t="shared" ref="M136:M141" si="57">ROUND(ROUND(L136,1)*ROUND(K136,1),1)</f>
        <v>26122.2</v>
      </c>
    </row>
    <row r="137" spans="1:13" s="89" customFormat="1" ht="23.1" customHeight="1">
      <c r="A137" s="66" t="s">
        <v>169</v>
      </c>
      <c r="B137" s="67" t="s">
        <v>278</v>
      </c>
      <c r="C137" s="68" t="s">
        <v>283</v>
      </c>
      <c r="D137" s="69" t="s">
        <v>51</v>
      </c>
      <c r="E137" s="70">
        <v>125.7</v>
      </c>
      <c r="F137" s="71">
        <v>1227.0999999999999</v>
      </c>
      <c r="G137" s="151">
        <f t="shared" si="43"/>
        <v>154246.5</v>
      </c>
      <c r="H137" s="73">
        <v>-7.5</v>
      </c>
      <c r="I137" s="74">
        <f t="shared" si="48"/>
        <v>1227.0999999999999</v>
      </c>
      <c r="J137" s="75">
        <f t="shared" si="54"/>
        <v>-9203.2999999999884</v>
      </c>
      <c r="K137" s="76">
        <f t="shared" si="55"/>
        <v>118.2</v>
      </c>
      <c r="L137" s="77">
        <f t="shared" si="56"/>
        <v>1227.0999999999999</v>
      </c>
      <c r="M137" s="78">
        <f t="shared" si="57"/>
        <v>145043.20000000001</v>
      </c>
    </row>
    <row r="138" spans="1:13" s="89" customFormat="1" ht="18" customHeight="1">
      <c r="A138" s="66" t="s">
        <v>229</v>
      </c>
      <c r="B138" s="67" t="s">
        <v>279</v>
      </c>
      <c r="C138" s="68" t="s">
        <v>284</v>
      </c>
      <c r="D138" s="69" t="s">
        <v>51</v>
      </c>
      <c r="E138" s="70">
        <v>131.69999999999999</v>
      </c>
      <c r="F138" s="71">
        <v>26.3</v>
      </c>
      <c r="G138" s="151">
        <f t="shared" si="43"/>
        <v>3463.7</v>
      </c>
      <c r="H138" s="73">
        <v>-7.5</v>
      </c>
      <c r="I138" s="74">
        <f t="shared" si="48"/>
        <v>26.3</v>
      </c>
      <c r="J138" s="75">
        <f t="shared" si="54"/>
        <v>-197.19999999999982</v>
      </c>
      <c r="K138" s="76">
        <f t="shared" si="55"/>
        <v>124.19999999999999</v>
      </c>
      <c r="L138" s="77">
        <f t="shared" si="56"/>
        <v>26.3</v>
      </c>
      <c r="M138" s="78">
        <f t="shared" si="57"/>
        <v>3266.5</v>
      </c>
    </row>
    <row r="139" spans="1:13" s="89" customFormat="1" ht="18" customHeight="1">
      <c r="A139" s="66" t="s">
        <v>230</v>
      </c>
      <c r="B139" s="67" t="s">
        <v>280</v>
      </c>
      <c r="C139" s="68" t="s">
        <v>285</v>
      </c>
      <c r="D139" s="69" t="s">
        <v>51</v>
      </c>
      <c r="E139" s="70">
        <v>131.69999999999999</v>
      </c>
      <c r="F139" s="71">
        <v>34.200000000000003</v>
      </c>
      <c r="G139" s="151">
        <f t="shared" si="43"/>
        <v>4504.1000000000004</v>
      </c>
      <c r="H139" s="73">
        <v>-7.5</v>
      </c>
      <c r="I139" s="74">
        <f t="shared" si="48"/>
        <v>34.200000000000003</v>
      </c>
      <c r="J139" s="75">
        <f t="shared" si="54"/>
        <v>-256.5</v>
      </c>
      <c r="K139" s="76">
        <f t="shared" si="55"/>
        <v>124.19999999999999</v>
      </c>
      <c r="L139" s="77">
        <f t="shared" si="56"/>
        <v>34.200000000000003</v>
      </c>
      <c r="M139" s="78">
        <f t="shared" si="57"/>
        <v>4247.6000000000004</v>
      </c>
    </row>
    <row r="140" spans="1:13" s="89" customFormat="1" ht="18" customHeight="1">
      <c r="A140" s="66" t="s">
        <v>83</v>
      </c>
      <c r="B140" s="67" t="s">
        <v>281</v>
      </c>
      <c r="C140" s="68" t="s">
        <v>286</v>
      </c>
      <c r="D140" s="69" t="s">
        <v>51</v>
      </c>
      <c r="E140" s="70">
        <v>125.7</v>
      </c>
      <c r="F140" s="71">
        <v>26.3</v>
      </c>
      <c r="G140" s="151">
        <f t="shared" si="43"/>
        <v>3305.9</v>
      </c>
      <c r="H140" s="73">
        <v>-7.5</v>
      </c>
      <c r="I140" s="74">
        <f t="shared" si="48"/>
        <v>26.3</v>
      </c>
      <c r="J140" s="75">
        <f t="shared" si="54"/>
        <v>-197.20000000000027</v>
      </c>
      <c r="K140" s="76">
        <f t="shared" si="55"/>
        <v>118.2</v>
      </c>
      <c r="L140" s="77">
        <f t="shared" si="56"/>
        <v>26.3</v>
      </c>
      <c r="M140" s="78">
        <f t="shared" si="57"/>
        <v>3108.7</v>
      </c>
    </row>
    <row r="141" spans="1:13" s="89" customFormat="1" ht="18" customHeight="1">
      <c r="A141" s="66" t="s">
        <v>76</v>
      </c>
      <c r="B141" s="67" t="s">
        <v>238</v>
      </c>
      <c r="C141" s="68" t="s">
        <v>241</v>
      </c>
      <c r="D141" s="69" t="s">
        <v>51</v>
      </c>
      <c r="E141" s="70">
        <v>131.69999999999999</v>
      </c>
      <c r="F141" s="172">
        <v>9.2100000000000009</v>
      </c>
      <c r="G141" s="151">
        <f t="shared" si="43"/>
        <v>1211.5999999999999</v>
      </c>
      <c r="H141" s="73">
        <v>-7.5</v>
      </c>
      <c r="I141" s="74">
        <f t="shared" si="48"/>
        <v>9.2100000000000009</v>
      </c>
      <c r="J141" s="75">
        <f t="shared" si="54"/>
        <v>-69</v>
      </c>
      <c r="K141" s="76">
        <f t="shared" si="55"/>
        <v>124.19999999999999</v>
      </c>
      <c r="L141" s="77">
        <f t="shared" si="56"/>
        <v>9.2100000000000009</v>
      </c>
      <c r="M141" s="78">
        <f t="shared" si="57"/>
        <v>1142.5999999999999</v>
      </c>
    </row>
    <row r="142" spans="1:13" s="89" customFormat="1" ht="18" customHeight="1">
      <c r="A142" s="60" t="s">
        <v>0</v>
      </c>
      <c r="B142" s="61" t="s">
        <v>47</v>
      </c>
      <c r="C142" s="62"/>
      <c r="D142" s="62"/>
      <c r="E142" s="62"/>
      <c r="F142" s="63"/>
      <c r="G142" s="64"/>
      <c r="H142" s="65"/>
      <c r="I142" s="65"/>
      <c r="J142" s="65"/>
      <c r="K142" s="65"/>
      <c r="L142" s="64"/>
      <c r="M142" s="64"/>
    </row>
    <row r="143" spans="1:13" s="89" customFormat="1" ht="18" customHeight="1">
      <c r="A143" s="66" t="s">
        <v>234</v>
      </c>
      <c r="B143" s="67" t="s">
        <v>287</v>
      </c>
      <c r="C143" s="68" t="s">
        <v>288</v>
      </c>
      <c r="D143" s="69" t="s">
        <v>51</v>
      </c>
      <c r="E143" s="70">
        <v>76</v>
      </c>
      <c r="F143" s="71">
        <v>60.5</v>
      </c>
      <c r="G143" s="151">
        <f t="shared" si="43"/>
        <v>4598</v>
      </c>
      <c r="H143" s="73">
        <v>-7.5</v>
      </c>
      <c r="I143" s="74">
        <f t="shared" si="48"/>
        <v>60.5</v>
      </c>
      <c r="J143" s="75">
        <f t="shared" ref="J143:J146" si="58">+M143-G143</f>
        <v>-453.69999999999982</v>
      </c>
      <c r="K143" s="76">
        <f t="shared" ref="K143:K146" si="59">E143+H143</f>
        <v>68.5</v>
      </c>
      <c r="L143" s="77">
        <f t="shared" ref="L143:L146" si="60">+I143</f>
        <v>60.5</v>
      </c>
      <c r="M143" s="78">
        <f t="shared" ref="M143:M146" si="61">ROUND(ROUND(L143,1)*ROUND(K143,1),1)</f>
        <v>4144.3</v>
      </c>
    </row>
    <row r="144" spans="1:13" s="89" customFormat="1" ht="18" customHeight="1">
      <c r="A144" s="66" t="s">
        <v>92</v>
      </c>
      <c r="B144" s="67" t="s">
        <v>56</v>
      </c>
      <c r="C144" s="68" t="s">
        <v>57</v>
      </c>
      <c r="D144" s="69" t="s">
        <v>58</v>
      </c>
      <c r="E144" s="70">
        <v>80</v>
      </c>
      <c r="F144" s="71">
        <v>51.29</v>
      </c>
      <c r="G144" s="151">
        <f t="shared" si="43"/>
        <v>4104</v>
      </c>
      <c r="H144" s="73">
        <f>-(7.5*1*0.1)*1.8</f>
        <v>-1.35</v>
      </c>
      <c r="I144" s="74">
        <f t="shared" si="48"/>
        <v>51.29</v>
      </c>
      <c r="J144" s="75">
        <f t="shared" si="58"/>
        <v>-66.699999999999818</v>
      </c>
      <c r="K144" s="76">
        <f t="shared" si="59"/>
        <v>78.650000000000006</v>
      </c>
      <c r="L144" s="77">
        <f t="shared" si="60"/>
        <v>51.29</v>
      </c>
      <c r="M144" s="78">
        <f t="shared" si="61"/>
        <v>4037.3</v>
      </c>
    </row>
    <row r="145" spans="1:14" s="89" customFormat="1" ht="23.1" customHeight="1">
      <c r="A145" s="66" t="s">
        <v>235</v>
      </c>
      <c r="B145" s="67" t="s">
        <v>245</v>
      </c>
      <c r="C145" s="68" t="s">
        <v>247</v>
      </c>
      <c r="D145" s="69" t="s">
        <v>58</v>
      </c>
      <c r="E145" s="70">
        <v>75.3</v>
      </c>
      <c r="F145" s="71">
        <v>154.66999999999999</v>
      </c>
      <c r="G145" s="151">
        <f t="shared" si="43"/>
        <v>11648.9</v>
      </c>
      <c r="H145" s="73">
        <f t="shared" ref="H145:H146" si="62">-(7.5*1*0.1)*1.8</f>
        <v>-1.35</v>
      </c>
      <c r="I145" s="74">
        <f t="shared" si="48"/>
        <v>154.66999999999999</v>
      </c>
      <c r="J145" s="75">
        <f t="shared" si="58"/>
        <v>-201.10000000000036</v>
      </c>
      <c r="K145" s="76">
        <f t="shared" si="59"/>
        <v>73.95</v>
      </c>
      <c r="L145" s="77">
        <f t="shared" si="60"/>
        <v>154.66999999999999</v>
      </c>
      <c r="M145" s="78">
        <f t="shared" si="61"/>
        <v>11447.8</v>
      </c>
    </row>
    <row r="146" spans="1:14" s="89" customFormat="1" ht="18" customHeight="1">
      <c r="A146" s="66" t="s">
        <v>95</v>
      </c>
      <c r="B146" s="67" t="s">
        <v>66</v>
      </c>
      <c r="C146" s="68" t="s">
        <v>64</v>
      </c>
      <c r="D146" s="69" t="s">
        <v>58</v>
      </c>
      <c r="E146" s="70">
        <v>80</v>
      </c>
      <c r="F146" s="71">
        <v>82.04</v>
      </c>
      <c r="G146" s="151">
        <f t="shared" si="43"/>
        <v>6560</v>
      </c>
      <c r="H146" s="73">
        <f t="shared" si="62"/>
        <v>-1.35</v>
      </c>
      <c r="I146" s="74">
        <f t="shared" si="48"/>
        <v>82.04</v>
      </c>
      <c r="J146" s="75">
        <f t="shared" si="58"/>
        <v>-106.60000000000036</v>
      </c>
      <c r="K146" s="76">
        <f t="shared" si="59"/>
        <v>78.650000000000006</v>
      </c>
      <c r="L146" s="77">
        <f t="shared" si="60"/>
        <v>82.04</v>
      </c>
      <c r="M146" s="78">
        <f t="shared" si="61"/>
        <v>6453.4</v>
      </c>
    </row>
    <row r="147" spans="1:14" s="89" customFormat="1" ht="18" customHeight="1">
      <c r="A147" s="131"/>
      <c r="B147" s="131"/>
      <c r="C147" s="132"/>
      <c r="D147" s="133"/>
      <c r="E147" s="153"/>
      <c r="F147" s="154"/>
      <c r="G147" s="82">
        <f>SUM(G110:G146)</f>
        <v>670853.89999999991</v>
      </c>
      <c r="H147" s="83"/>
      <c r="I147" s="84"/>
      <c r="J147" s="85">
        <f>SUM(J110:J146)</f>
        <v>-35104.099999999969</v>
      </c>
      <c r="K147" s="86"/>
      <c r="L147" s="87"/>
      <c r="M147" s="88">
        <f>SUM(M110:M146)</f>
        <v>635749.80000000016</v>
      </c>
    </row>
    <row r="148" spans="1:14" s="89" customFormat="1" ht="18" customHeight="1">
      <c r="A148" s="131"/>
      <c r="B148" s="131"/>
      <c r="C148" s="132"/>
      <c r="D148" s="133"/>
      <c r="E148" s="153"/>
      <c r="F148" s="154"/>
      <c r="G148" s="151"/>
      <c r="H148" s="83"/>
      <c r="I148" s="84"/>
      <c r="J148" s="85"/>
      <c r="K148" s="86"/>
      <c r="L148" s="87"/>
      <c r="M148" s="88"/>
    </row>
    <row r="149" spans="1:14" s="89" customFormat="1" ht="18" customHeight="1">
      <c r="A149" s="196" t="s">
        <v>289</v>
      </c>
      <c r="B149" s="197"/>
      <c r="C149" s="197"/>
      <c r="D149" s="197"/>
      <c r="E149" s="152"/>
      <c r="F149" s="40"/>
      <c r="G149" s="82"/>
      <c r="H149" s="83"/>
      <c r="I149" s="84"/>
      <c r="J149" s="85"/>
      <c r="K149" s="86"/>
      <c r="L149" s="87"/>
      <c r="M149" s="88"/>
    </row>
    <row r="150" spans="1:14" s="89" customFormat="1" ht="18" customHeight="1">
      <c r="A150" s="144"/>
      <c r="B150" s="144"/>
      <c r="C150" s="80"/>
      <c r="D150" s="80"/>
      <c r="E150" s="152"/>
      <c r="F150" s="40"/>
      <c r="G150" s="82"/>
      <c r="H150" s="83"/>
      <c r="I150" s="84"/>
      <c r="J150" s="85"/>
      <c r="K150" s="86"/>
      <c r="L150" s="87"/>
      <c r="M150" s="88"/>
    </row>
    <row r="151" spans="1:14" s="89" customFormat="1" ht="18" customHeight="1">
      <c r="A151" s="46" t="s">
        <v>290</v>
      </c>
      <c r="B151" s="47" t="s">
        <v>291</v>
      </c>
      <c r="C151" s="40"/>
      <c r="D151" s="40"/>
      <c r="E151" s="198" t="s">
        <v>1</v>
      </c>
      <c r="F151" s="198"/>
      <c r="G151" s="198"/>
      <c r="H151" s="199" t="s">
        <v>10</v>
      </c>
      <c r="I151" s="199"/>
      <c r="J151" s="199"/>
      <c r="K151" s="200" t="s">
        <v>11</v>
      </c>
      <c r="L151" s="200"/>
      <c r="M151" s="200"/>
      <c r="N151" s="166" t="s">
        <v>319</v>
      </c>
    </row>
    <row r="152" spans="1:14" s="89" customFormat="1" ht="26.1" customHeight="1">
      <c r="A152" s="48" t="s">
        <v>12</v>
      </c>
      <c r="B152" s="145" t="s">
        <v>13</v>
      </c>
      <c r="C152" s="48" t="s">
        <v>13</v>
      </c>
      <c r="D152" s="145" t="s">
        <v>14</v>
      </c>
      <c r="E152" s="146" t="s">
        <v>15</v>
      </c>
      <c r="F152" s="147" t="s">
        <v>16</v>
      </c>
      <c r="G152" s="52" t="s">
        <v>17</v>
      </c>
      <c r="H152" s="53" t="s">
        <v>15</v>
      </c>
      <c r="I152" s="54" t="s">
        <v>18</v>
      </c>
      <c r="J152" s="55" t="s">
        <v>17</v>
      </c>
      <c r="K152" s="56" t="s">
        <v>15</v>
      </c>
      <c r="L152" s="57" t="s">
        <v>18</v>
      </c>
      <c r="M152" s="58" t="s">
        <v>19</v>
      </c>
    </row>
    <row r="153" spans="1:14" s="89" customFormat="1" ht="18" customHeight="1">
      <c r="A153" s="60" t="s">
        <v>32</v>
      </c>
      <c r="B153" s="61" t="s">
        <v>33</v>
      </c>
      <c r="C153" s="62"/>
      <c r="D153" s="62"/>
      <c r="E153" s="62"/>
      <c r="F153" s="63"/>
      <c r="G153" s="64"/>
      <c r="H153" s="65"/>
      <c r="I153" s="65"/>
      <c r="J153" s="65"/>
      <c r="K153" s="64"/>
      <c r="L153" s="64"/>
      <c r="M153" s="64"/>
    </row>
    <row r="154" spans="1:14" s="89" customFormat="1" ht="23.1" customHeight="1">
      <c r="A154" s="66" t="s">
        <v>32</v>
      </c>
      <c r="B154" s="67" t="s">
        <v>121</v>
      </c>
      <c r="C154" s="68" t="s">
        <v>176</v>
      </c>
      <c r="D154" s="69" t="s">
        <v>36</v>
      </c>
      <c r="E154" s="70">
        <v>145.5</v>
      </c>
      <c r="F154" s="71">
        <v>23.67</v>
      </c>
      <c r="G154" s="72">
        <f t="shared" ref="G154:G190" si="63">ROUND(ROUND(F154,1)*ROUND(E154,1),1)</f>
        <v>3448.4</v>
      </c>
      <c r="H154" s="73">
        <f>0.3*1</f>
        <v>0.3</v>
      </c>
      <c r="I154" s="74">
        <f>F154</f>
        <v>23.67</v>
      </c>
      <c r="J154" s="75">
        <f t="shared" ref="J154:J174" si="64">+M154-G154</f>
        <v>7.0999999999999091</v>
      </c>
      <c r="K154" s="76">
        <f t="shared" ref="K154:K174" si="65">E154+H154</f>
        <v>145.80000000000001</v>
      </c>
      <c r="L154" s="77">
        <f t="shared" ref="L154:L174" si="66">+I154</f>
        <v>23.67</v>
      </c>
      <c r="M154" s="78">
        <f t="shared" ref="M154:M174" si="67">ROUND(ROUND(L154,1)*ROUND(K154,1),1)</f>
        <v>3455.5</v>
      </c>
    </row>
    <row r="155" spans="1:14" s="89" customFormat="1" ht="18" customHeight="1">
      <c r="A155" s="66" t="s">
        <v>111</v>
      </c>
      <c r="B155" s="67" t="s">
        <v>262</v>
      </c>
      <c r="C155" s="68" t="s">
        <v>264</v>
      </c>
      <c r="D155" s="69" t="s">
        <v>180</v>
      </c>
      <c r="E155" s="70">
        <v>53.9</v>
      </c>
      <c r="F155" s="71">
        <v>257.77999999999997</v>
      </c>
      <c r="G155" s="72">
        <f t="shared" si="63"/>
        <v>13895.4</v>
      </c>
      <c r="H155" s="73">
        <f>(0.3*1*1.5)*0.4</f>
        <v>0.18</v>
      </c>
      <c r="I155" s="74">
        <f t="shared" ref="I155:I190" si="68">F155</f>
        <v>257.77999999999997</v>
      </c>
      <c r="J155" s="75">
        <f t="shared" si="64"/>
        <v>51.600000000000364</v>
      </c>
      <c r="K155" s="76">
        <f t="shared" si="65"/>
        <v>54.08</v>
      </c>
      <c r="L155" s="77">
        <f t="shared" si="66"/>
        <v>257.77999999999997</v>
      </c>
      <c r="M155" s="78">
        <f t="shared" si="67"/>
        <v>13947</v>
      </c>
    </row>
    <row r="156" spans="1:14" s="89" customFormat="1" ht="18" customHeight="1">
      <c r="A156" s="66" t="s">
        <v>112</v>
      </c>
      <c r="B156" s="67" t="s">
        <v>137</v>
      </c>
      <c r="C156" s="68" t="s">
        <v>182</v>
      </c>
      <c r="D156" s="69" t="s">
        <v>180</v>
      </c>
      <c r="E156" s="70">
        <v>53.9</v>
      </c>
      <c r="F156" s="71">
        <v>13.15</v>
      </c>
      <c r="G156" s="72">
        <f t="shared" si="63"/>
        <v>711.5</v>
      </c>
      <c r="H156" s="73">
        <f>(0.3*1*1.5)*0.4</f>
        <v>0.18</v>
      </c>
      <c r="I156" s="74">
        <f t="shared" si="68"/>
        <v>13.15</v>
      </c>
      <c r="J156" s="75">
        <f t="shared" si="64"/>
        <v>2.6000000000000227</v>
      </c>
      <c r="K156" s="76">
        <f t="shared" si="65"/>
        <v>54.08</v>
      </c>
      <c r="L156" s="77">
        <f t="shared" si="66"/>
        <v>13.15</v>
      </c>
      <c r="M156" s="78">
        <f t="shared" si="67"/>
        <v>714.1</v>
      </c>
    </row>
    <row r="157" spans="1:14" s="89" customFormat="1" ht="18" customHeight="1">
      <c r="A157" s="66" t="s">
        <v>0</v>
      </c>
      <c r="B157" s="67" t="s">
        <v>263</v>
      </c>
      <c r="C157" s="68" t="s">
        <v>265</v>
      </c>
      <c r="D157" s="69" t="s">
        <v>180</v>
      </c>
      <c r="E157" s="70">
        <v>64.2</v>
      </c>
      <c r="F157" s="71">
        <v>315.64999999999998</v>
      </c>
      <c r="G157" s="72">
        <f t="shared" si="63"/>
        <v>20267.900000000001</v>
      </c>
      <c r="H157" s="73">
        <f>(0.3*1*1.5)*0.45</f>
        <v>0.20249999999999999</v>
      </c>
      <c r="I157" s="74">
        <f t="shared" si="68"/>
        <v>315.64999999999998</v>
      </c>
      <c r="J157" s="75">
        <f t="shared" si="64"/>
        <v>63.19999999999709</v>
      </c>
      <c r="K157" s="76">
        <f t="shared" si="65"/>
        <v>64.402500000000003</v>
      </c>
      <c r="L157" s="77">
        <f t="shared" si="66"/>
        <v>315.64999999999998</v>
      </c>
      <c r="M157" s="78">
        <f t="shared" si="67"/>
        <v>20331.099999999999</v>
      </c>
    </row>
    <row r="158" spans="1:14" s="89" customFormat="1" ht="18" customHeight="1">
      <c r="A158" s="66" t="s">
        <v>113</v>
      </c>
      <c r="B158" s="67" t="s">
        <v>141</v>
      </c>
      <c r="C158" s="68" t="s">
        <v>184</v>
      </c>
      <c r="D158" s="69" t="s">
        <v>180</v>
      </c>
      <c r="E158" s="70">
        <v>64.2</v>
      </c>
      <c r="F158" s="71">
        <v>15.78</v>
      </c>
      <c r="G158" s="72">
        <f t="shared" si="63"/>
        <v>1014.4</v>
      </c>
      <c r="H158" s="73">
        <f>(0.3*1*1.5)*0.45</f>
        <v>0.20249999999999999</v>
      </c>
      <c r="I158" s="74">
        <f t="shared" si="68"/>
        <v>15.78</v>
      </c>
      <c r="J158" s="75">
        <f t="shared" si="64"/>
        <v>3.1000000000000227</v>
      </c>
      <c r="K158" s="76">
        <f t="shared" si="65"/>
        <v>64.402500000000003</v>
      </c>
      <c r="L158" s="77">
        <f t="shared" si="66"/>
        <v>15.78</v>
      </c>
      <c r="M158" s="78">
        <f t="shared" si="67"/>
        <v>1017.5</v>
      </c>
    </row>
    <row r="159" spans="1:14" s="89" customFormat="1" ht="23.1" customHeight="1">
      <c r="A159" s="66" t="s">
        <v>114</v>
      </c>
      <c r="B159" s="67" t="s">
        <v>143</v>
      </c>
      <c r="C159" s="68" t="s">
        <v>185</v>
      </c>
      <c r="D159" s="69" t="s">
        <v>180</v>
      </c>
      <c r="E159" s="70">
        <v>13.7</v>
      </c>
      <c r="F159" s="71">
        <v>1569.06</v>
      </c>
      <c r="G159" s="72">
        <f t="shared" si="63"/>
        <v>21496.7</v>
      </c>
      <c r="H159" s="73">
        <f>(0.3*1*1.5)*0.05</f>
        <v>2.2499999999999999E-2</v>
      </c>
      <c r="I159" s="74">
        <f t="shared" si="68"/>
        <v>1569.06</v>
      </c>
      <c r="J159" s="75">
        <f t="shared" si="64"/>
        <v>0</v>
      </c>
      <c r="K159" s="76">
        <f t="shared" si="65"/>
        <v>13.7225</v>
      </c>
      <c r="L159" s="77">
        <f t="shared" si="66"/>
        <v>1569.06</v>
      </c>
      <c r="M159" s="78">
        <f t="shared" si="67"/>
        <v>21496.7</v>
      </c>
    </row>
    <row r="160" spans="1:14" s="89" customFormat="1" ht="23.1" customHeight="1">
      <c r="A160" s="66" t="s">
        <v>115</v>
      </c>
      <c r="B160" s="67" t="s">
        <v>145</v>
      </c>
      <c r="C160" s="68" t="s">
        <v>186</v>
      </c>
      <c r="D160" s="69" t="s">
        <v>180</v>
      </c>
      <c r="E160" s="70">
        <v>32.6</v>
      </c>
      <c r="F160" s="71">
        <v>2149.0700000000002</v>
      </c>
      <c r="G160" s="72">
        <f t="shared" si="63"/>
        <v>70060.7</v>
      </c>
      <c r="H160" s="73">
        <f>(0.3*1*1.5)*0.1</f>
        <v>4.4999999999999998E-2</v>
      </c>
      <c r="I160" s="74">
        <f t="shared" si="68"/>
        <v>2149.0700000000002</v>
      </c>
      <c r="J160" s="75">
        <f t="shared" si="64"/>
        <v>0</v>
      </c>
      <c r="K160" s="76">
        <f t="shared" si="65"/>
        <v>32.645000000000003</v>
      </c>
      <c r="L160" s="77">
        <f t="shared" si="66"/>
        <v>2149.0700000000002</v>
      </c>
      <c r="M160" s="78">
        <f t="shared" si="67"/>
        <v>70060.7</v>
      </c>
    </row>
    <row r="161" spans="1:13" s="89" customFormat="1" ht="18" customHeight="1">
      <c r="A161" s="66" t="s">
        <v>117</v>
      </c>
      <c r="B161" s="67" t="s">
        <v>148</v>
      </c>
      <c r="C161" s="68" t="s">
        <v>187</v>
      </c>
      <c r="D161" s="69" t="s">
        <v>36</v>
      </c>
      <c r="E161" s="70">
        <v>354</v>
      </c>
      <c r="F161" s="71">
        <v>99.96</v>
      </c>
      <c r="G161" s="72">
        <f t="shared" si="63"/>
        <v>35400</v>
      </c>
      <c r="H161" s="73">
        <f>2*1.6*0.3</f>
        <v>0.96</v>
      </c>
      <c r="I161" s="74">
        <f t="shared" si="68"/>
        <v>99.96</v>
      </c>
      <c r="J161" s="75">
        <f t="shared" si="64"/>
        <v>100</v>
      </c>
      <c r="K161" s="76">
        <f t="shared" si="65"/>
        <v>354.96</v>
      </c>
      <c r="L161" s="77">
        <f t="shared" si="66"/>
        <v>99.96</v>
      </c>
      <c r="M161" s="78">
        <f t="shared" si="67"/>
        <v>35500</v>
      </c>
    </row>
    <row r="162" spans="1:13" s="89" customFormat="1" ht="18" customHeight="1">
      <c r="A162" s="66" t="s">
        <v>118</v>
      </c>
      <c r="B162" s="67" t="s">
        <v>150</v>
      </c>
      <c r="C162" s="68" t="s">
        <v>188</v>
      </c>
      <c r="D162" s="69" t="s">
        <v>36</v>
      </c>
      <c r="E162" s="70">
        <v>354</v>
      </c>
      <c r="F162" s="71">
        <v>149.94</v>
      </c>
      <c r="G162" s="72">
        <f t="shared" si="63"/>
        <v>53064.6</v>
      </c>
      <c r="H162" s="73">
        <f>2*1.6*0.3</f>
        <v>0.96</v>
      </c>
      <c r="I162" s="74">
        <f t="shared" si="68"/>
        <v>149.94</v>
      </c>
      <c r="J162" s="75">
        <f t="shared" si="64"/>
        <v>149.90000000000146</v>
      </c>
      <c r="K162" s="76">
        <f t="shared" si="65"/>
        <v>354.96</v>
      </c>
      <c r="L162" s="77">
        <f t="shared" si="66"/>
        <v>149.94</v>
      </c>
      <c r="M162" s="78">
        <f t="shared" si="67"/>
        <v>53214.5</v>
      </c>
    </row>
    <row r="163" spans="1:13" s="89" customFormat="1" ht="18" customHeight="1">
      <c r="A163" s="66" t="s">
        <v>119</v>
      </c>
      <c r="B163" s="67" t="s">
        <v>252</v>
      </c>
      <c r="C163" s="68" t="s">
        <v>256</v>
      </c>
      <c r="D163" s="69" t="s">
        <v>180</v>
      </c>
      <c r="E163" s="70">
        <v>118.1</v>
      </c>
      <c r="F163" s="71">
        <v>13.15</v>
      </c>
      <c r="G163" s="72">
        <f t="shared" si="63"/>
        <v>1558.9</v>
      </c>
      <c r="H163" s="73">
        <f>H155+H157</f>
        <v>0.38249999999999995</v>
      </c>
      <c r="I163" s="74">
        <f t="shared" si="68"/>
        <v>13.15</v>
      </c>
      <c r="J163" s="75">
        <f t="shared" si="64"/>
        <v>5.2999999999999545</v>
      </c>
      <c r="K163" s="76">
        <f t="shared" si="65"/>
        <v>118.48249999999999</v>
      </c>
      <c r="L163" s="77">
        <f t="shared" si="66"/>
        <v>13.15</v>
      </c>
      <c r="M163" s="78">
        <f t="shared" si="67"/>
        <v>1564.2</v>
      </c>
    </row>
    <row r="164" spans="1:13" s="89" customFormat="1" ht="18" customHeight="1">
      <c r="A164" s="66" t="s">
        <v>120</v>
      </c>
      <c r="B164" s="67" t="s">
        <v>269</v>
      </c>
      <c r="C164" s="68" t="s">
        <v>272</v>
      </c>
      <c r="D164" s="69" t="s">
        <v>180</v>
      </c>
      <c r="E164" s="70">
        <v>49.4</v>
      </c>
      <c r="F164" s="71">
        <v>19.73</v>
      </c>
      <c r="G164" s="72">
        <f t="shared" si="63"/>
        <v>973.2</v>
      </c>
      <c r="H164" s="73">
        <f>H159+H160</f>
        <v>6.7500000000000004E-2</v>
      </c>
      <c r="I164" s="74">
        <f t="shared" si="68"/>
        <v>19.73</v>
      </c>
      <c r="J164" s="75">
        <f t="shared" si="64"/>
        <v>2</v>
      </c>
      <c r="K164" s="76">
        <f t="shared" si="65"/>
        <v>49.467500000000001</v>
      </c>
      <c r="L164" s="77">
        <f t="shared" si="66"/>
        <v>19.73</v>
      </c>
      <c r="M164" s="78">
        <f t="shared" si="67"/>
        <v>975.2</v>
      </c>
    </row>
    <row r="165" spans="1:13" s="89" customFormat="1" ht="18" customHeight="1">
      <c r="A165" s="66" t="s">
        <v>122</v>
      </c>
      <c r="B165" s="67" t="s">
        <v>270</v>
      </c>
      <c r="C165" s="68" t="s">
        <v>273</v>
      </c>
      <c r="D165" s="69" t="s">
        <v>180</v>
      </c>
      <c r="E165" s="70">
        <v>5.6</v>
      </c>
      <c r="F165" s="71">
        <v>44.72</v>
      </c>
      <c r="G165" s="72">
        <f t="shared" si="63"/>
        <v>250.3</v>
      </c>
      <c r="H165" s="73">
        <f>H163</f>
        <v>0.38249999999999995</v>
      </c>
      <c r="I165" s="74">
        <f t="shared" si="68"/>
        <v>44.72</v>
      </c>
      <c r="J165" s="75">
        <f t="shared" si="64"/>
        <v>17.899999999999977</v>
      </c>
      <c r="K165" s="76">
        <f t="shared" si="65"/>
        <v>5.9824999999999999</v>
      </c>
      <c r="L165" s="77">
        <f t="shared" si="66"/>
        <v>44.72</v>
      </c>
      <c r="M165" s="78">
        <f t="shared" si="67"/>
        <v>268.2</v>
      </c>
    </row>
    <row r="166" spans="1:13" s="89" customFormat="1" ht="18" customHeight="1">
      <c r="A166" s="66" t="s">
        <v>126</v>
      </c>
      <c r="B166" s="67" t="s">
        <v>253</v>
      </c>
      <c r="C166" s="68" t="s">
        <v>257</v>
      </c>
      <c r="D166" s="69" t="s">
        <v>180</v>
      </c>
      <c r="E166" s="70">
        <v>49.4</v>
      </c>
      <c r="F166" s="71">
        <v>51.29</v>
      </c>
      <c r="G166" s="72">
        <f t="shared" si="63"/>
        <v>2534.1999999999998</v>
      </c>
      <c r="H166" s="73">
        <f>H164</f>
        <v>6.7500000000000004E-2</v>
      </c>
      <c r="I166" s="74">
        <f t="shared" si="68"/>
        <v>51.29</v>
      </c>
      <c r="J166" s="75">
        <f t="shared" si="64"/>
        <v>5.2000000000002728</v>
      </c>
      <c r="K166" s="76">
        <f t="shared" si="65"/>
        <v>49.467500000000001</v>
      </c>
      <c r="L166" s="77">
        <f t="shared" si="66"/>
        <v>51.29</v>
      </c>
      <c r="M166" s="78">
        <f t="shared" si="67"/>
        <v>2539.4</v>
      </c>
    </row>
    <row r="167" spans="1:13" s="89" customFormat="1" ht="18" customHeight="1">
      <c r="A167" s="66" t="s">
        <v>127</v>
      </c>
      <c r="B167" s="67" t="s">
        <v>159</v>
      </c>
      <c r="C167" s="68" t="s">
        <v>193</v>
      </c>
      <c r="D167" s="69" t="s">
        <v>180</v>
      </c>
      <c r="E167" s="70">
        <v>245.2</v>
      </c>
      <c r="F167" s="71">
        <v>11.84</v>
      </c>
      <c r="G167" s="72">
        <f t="shared" si="63"/>
        <v>2893.4</v>
      </c>
      <c r="H167" s="73">
        <f>H165+H166</f>
        <v>0.44999999999999996</v>
      </c>
      <c r="I167" s="74">
        <f t="shared" si="68"/>
        <v>11.84</v>
      </c>
      <c r="J167" s="75">
        <f t="shared" si="64"/>
        <v>5.9000000000000909</v>
      </c>
      <c r="K167" s="76">
        <f t="shared" si="65"/>
        <v>245.64999999999998</v>
      </c>
      <c r="L167" s="77">
        <f t="shared" si="66"/>
        <v>11.84</v>
      </c>
      <c r="M167" s="78">
        <f t="shared" si="67"/>
        <v>2899.3</v>
      </c>
    </row>
    <row r="168" spans="1:13" s="89" customFormat="1" ht="18" customHeight="1">
      <c r="A168" s="66" t="s">
        <v>128</v>
      </c>
      <c r="B168" s="67" t="s">
        <v>159</v>
      </c>
      <c r="C168" s="68" t="s">
        <v>193</v>
      </c>
      <c r="D168" s="69" t="s">
        <v>180</v>
      </c>
      <c r="E168" s="70">
        <v>132.69999999999999</v>
      </c>
      <c r="F168" s="71">
        <v>11.84</v>
      </c>
      <c r="G168" s="72">
        <f t="shared" si="63"/>
        <v>1565.9</v>
      </c>
      <c r="H168" s="73">
        <f>H171+H176</f>
        <v>0.15</v>
      </c>
      <c r="I168" s="74">
        <f t="shared" si="68"/>
        <v>11.84</v>
      </c>
      <c r="J168" s="75">
        <f t="shared" si="64"/>
        <v>2.2999999999999545</v>
      </c>
      <c r="K168" s="76">
        <f t="shared" si="65"/>
        <v>132.85</v>
      </c>
      <c r="L168" s="77">
        <f t="shared" si="66"/>
        <v>11.84</v>
      </c>
      <c r="M168" s="78">
        <f t="shared" si="67"/>
        <v>1568.2</v>
      </c>
    </row>
    <row r="169" spans="1:13" s="89" customFormat="1" ht="18" customHeight="1">
      <c r="A169" s="66" t="s">
        <v>129</v>
      </c>
      <c r="B169" s="67" t="s">
        <v>162</v>
      </c>
      <c r="C169" s="68" t="s">
        <v>194</v>
      </c>
      <c r="D169" s="69" t="s">
        <v>58</v>
      </c>
      <c r="E169" s="70">
        <v>233.2</v>
      </c>
      <c r="F169" s="71">
        <v>116</v>
      </c>
      <c r="G169" s="72">
        <f t="shared" si="63"/>
        <v>27051.200000000001</v>
      </c>
      <c r="H169" s="73">
        <f>H168*2</f>
        <v>0.3</v>
      </c>
      <c r="I169" s="74">
        <f t="shared" si="68"/>
        <v>116</v>
      </c>
      <c r="J169" s="75">
        <f t="shared" si="64"/>
        <v>34.799999999999272</v>
      </c>
      <c r="K169" s="76">
        <f t="shared" si="65"/>
        <v>233.5</v>
      </c>
      <c r="L169" s="77">
        <f t="shared" si="66"/>
        <v>116</v>
      </c>
      <c r="M169" s="78">
        <f t="shared" si="67"/>
        <v>27086</v>
      </c>
    </row>
    <row r="170" spans="1:13" s="89" customFormat="1" ht="23.1" customHeight="1">
      <c r="A170" s="66" t="s">
        <v>131</v>
      </c>
      <c r="B170" s="67" t="s">
        <v>164</v>
      </c>
      <c r="C170" s="68" t="s">
        <v>195</v>
      </c>
      <c r="D170" s="69" t="s">
        <v>180</v>
      </c>
      <c r="E170" s="70">
        <v>112.5</v>
      </c>
      <c r="F170" s="71">
        <v>286.72000000000003</v>
      </c>
      <c r="G170" s="72">
        <f t="shared" si="63"/>
        <v>32253.8</v>
      </c>
      <c r="H170" s="73">
        <f>0.3*1*1</f>
        <v>0.3</v>
      </c>
      <c r="I170" s="74">
        <f t="shared" si="68"/>
        <v>286.72000000000003</v>
      </c>
      <c r="J170" s="75">
        <f t="shared" si="64"/>
        <v>86</v>
      </c>
      <c r="K170" s="76">
        <f t="shared" si="65"/>
        <v>112.8</v>
      </c>
      <c r="L170" s="77">
        <f t="shared" si="66"/>
        <v>286.72000000000003</v>
      </c>
      <c r="M170" s="78">
        <f t="shared" si="67"/>
        <v>32339.8</v>
      </c>
    </row>
    <row r="171" spans="1:13" s="89" customFormat="1" ht="23.1" customHeight="1">
      <c r="A171" s="66" t="s">
        <v>132</v>
      </c>
      <c r="B171" s="67" t="s">
        <v>166</v>
      </c>
      <c r="C171" s="68" t="s">
        <v>196</v>
      </c>
      <c r="D171" s="69" t="s">
        <v>180</v>
      </c>
      <c r="E171" s="70">
        <v>40.700000000000003</v>
      </c>
      <c r="F171" s="71">
        <v>318.27999999999997</v>
      </c>
      <c r="G171" s="72">
        <f t="shared" si="63"/>
        <v>12954.8</v>
      </c>
      <c r="H171" s="73">
        <f>0.3*0.4*1</f>
        <v>0.12</v>
      </c>
      <c r="I171" s="74">
        <f t="shared" si="68"/>
        <v>318.27999999999997</v>
      </c>
      <c r="J171" s="75">
        <f t="shared" si="64"/>
        <v>31.800000000001091</v>
      </c>
      <c r="K171" s="76">
        <f t="shared" si="65"/>
        <v>40.82</v>
      </c>
      <c r="L171" s="77">
        <f t="shared" si="66"/>
        <v>318.27999999999997</v>
      </c>
      <c r="M171" s="78">
        <f t="shared" si="67"/>
        <v>12986.6</v>
      </c>
    </row>
    <row r="172" spans="1:13" s="89" customFormat="1" ht="18" customHeight="1">
      <c r="A172" s="66" t="s">
        <v>136</v>
      </c>
      <c r="B172" s="67" t="s">
        <v>271</v>
      </c>
      <c r="C172" s="68" t="s">
        <v>274</v>
      </c>
      <c r="D172" s="69" t="s">
        <v>58</v>
      </c>
      <c r="E172" s="70">
        <v>175</v>
      </c>
      <c r="F172" s="71">
        <v>190.76</v>
      </c>
      <c r="G172" s="72">
        <f t="shared" si="63"/>
        <v>33390</v>
      </c>
      <c r="H172" s="73">
        <f>H171</f>
        <v>0.12</v>
      </c>
      <c r="I172" s="74">
        <f t="shared" si="68"/>
        <v>190.76</v>
      </c>
      <c r="J172" s="75">
        <f t="shared" si="64"/>
        <v>19.099999999998545</v>
      </c>
      <c r="K172" s="76">
        <f t="shared" si="65"/>
        <v>175.12</v>
      </c>
      <c r="L172" s="77">
        <f t="shared" si="66"/>
        <v>190.76</v>
      </c>
      <c r="M172" s="78">
        <f t="shared" si="67"/>
        <v>33409.1</v>
      </c>
    </row>
    <row r="173" spans="1:13" s="89" customFormat="1" ht="18" customHeight="1">
      <c r="A173" s="66" t="s">
        <v>230</v>
      </c>
      <c r="B173" s="67" t="s">
        <v>172</v>
      </c>
      <c r="C173" s="68" t="s">
        <v>198</v>
      </c>
      <c r="D173" s="69" t="s">
        <v>180</v>
      </c>
      <c r="E173" s="70">
        <v>164.9</v>
      </c>
      <c r="F173" s="71">
        <v>160.46</v>
      </c>
      <c r="G173" s="72">
        <f t="shared" si="63"/>
        <v>26466.5</v>
      </c>
      <c r="H173" s="73">
        <f>H167</f>
        <v>0.44999999999999996</v>
      </c>
      <c r="I173" s="74">
        <f t="shared" si="68"/>
        <v>160.46</v>
      </c>
      <c r="J173" s="75">
        <f t="shared" si="64"/>
        <v>80.200000000000728</v>
      </c>
      <c r="K173" s="76">
        <f t="shared" si="65"/>
        <v>165.35</v>
      </c>
      <c r="L173" s="77">
        <f t="shared" si="66"/>
        <v>160.46</v>
      </c>
      <c r="M173" s="78">
        <f t="shared" si="67"/>
        <v>26546.7</v>
      </c>
    </row>
    <row r="174" spans="1:13" s="89" customFormat="1" ht="18" customHeight="1">
      <c r="A174" s="66" t="s">
        <v>84</v>
      </c>
      <c r="B174" s="67" t="s">
        <v>175</v>
      </c>
      <c r="C174" s="68" t="s">
        <v>199</v>
      </c>
      <c r="D174" s="69" t="s">
        <v>180</v>
      </c>
      <c r="E174" s="70">
        <v>49.4</v>
      </c>
      <c r="F174" s="71">
        <v>247.39</v>
      </c>
      <c r="G174" s="72">
        <f t="shared" si="63"/>
        <v>12221.6</v>
      </c>
      <c r="H174" s="73">
        <f>H168</f>
        <v>0.15</v>
      </c>
      <c r="I174" s="74">
        <f t="shared" si="68"/>
        <v>247.39</v>
      </c>
      <c r="J174" s="75">
        <f t="shared" si="64"/>
        <v>49.399999999999636</v>
      </c>
      <c r="K174" s="76">
        <f t="shared" si="65"/>
        <v>49.55</v>
      </c>
      <c r="L174" s="77">
        <f t="shared" si="66"/>
        <v>247.39</v>
      </c>
      <c r="M174" s="78">
        <f t="shared" si="67"/>
        <v>12271</v>
      </c>
    </row>
    <row r="175" spans="1:13" s="89" customFormat="1" ht="18" customHeight="1">
      <c r="A175" s="60" t="s">
        <v>109</v>
      </c>
      <c r="B175" s="61" t="s">
        <v>207</v>
      </c>
      <c r="C175" s="62"/>
      <c r="D175" s="62"/>
      <c r="E175" s="62"/>
      <c r="F175" s="63"/>
      <c r="G175" s="64"/>
      <c r="H175" s="65"/>
      <c r="I175" s="65"/>
      <c r="J175" s="65"/>
      <c r="K175" s="65"/>
      <c r="L175" s="64"/>
      <c r="M175" s="64"/>
    </row>
    <row r="176" spans="1:13" s="89" customFormat="1" ht="18" customHeight="1">
      <c r="A176" s="66" t="s">
        <v>140</v>
      </c>
      <c r="B176" s="67" t="s">
        <v>275</v>
      </c>
      <c r="C176" s="68" t="s">
        <v>276</v>
      </c>
      <c r="D176" s="69" t="s">
        <v>180</v>
      </c>
      <c r="E176" s="70">
        <v>10.6</v>
      </c>
      <c r="F176" s="172">
        <v>644.70000000000005</v>
      </c>
      <c r="G176" s="72">
        <f t="shared" si="63"/>
        <v>6833.8</v>
      </c>
      <c r="H176" s="73">
        <f>0.3*1*0.1</f>
        <v>0.03</v>
      </c>
      <c r="I176" s="74">
        <f t="shared" si="68"/>
        <v>644.70000000000005</v>
      </c>
      <c r="J176" s="75">
        <f>+M176-G176</f>
        <v>0</v>
      </c>
      <c r="K176" s="76">
        <f>E176+H176</f>
        <v>10.629999999999999</v>
      </c>
      <c r="L176" s="77">
        <f t="shared" ref="L176" si="69">+I176</f>
        <v>644.70000000000005</v>
      </c>
      <c r="M176" s="78">
        <f t="shared" ref="M176" si="70">ROUND(ROUND(L176,1)*ROUND(K176,1),1)</f>
        <v>6833.8</v>
      </c>
    </row>
    <row r="177" spans="1:13" s="89" customFormat="1" ht="18" customHeight="1">
      <c r="A177" s="60" t="s">
        <v>37</v>
      </c>
      <c r="B177" s="61" t="s">
        <v>38</v>
      </c>
      <c r="C177" s="62"/>
      <c r="D177" s="62"/>
      <c r="E177" s="62"/>
      <c r="F177" s="63"/>
      <c r="G177" s="64"/>
      <c r="H177" s="65"/>
      <c r="I177" s="65"/>
      <c r="J177" s="65"/>
      <c r="K177" s="65"/>
      <c r="L177" s="64"/>
      <c r="M177" s="64"/>
    </row>
    <row r="178" spans="1:13" s="89" customFormat="1" ht="18" customHeight="1">
      <c r="A178" s="66" t="s">
        <v>146</v>
      </c>
      <c r="B178" s="67" t="s">
        <v>214</v>
      </c>
      <c r="C178" s="68" t="s">
        <v>219</v>
      </c>
      <c r="D178" s="69" t="s">
        <v>36</v>
      </c>
      <c r="E178" s="70">
        <v>108.8</v>
      </c>
      <c r="F178" s="172">
        <v>155.66999999999999</v>
      </c>
      <c r="G178" s="72">
        <f t="shared" si="63"/>
        <v>16940.2</v>
      </c>
      <c r="H178" s="73">
        <f>0.3*1</f>
        <v>0.3</v>
      </c>
      <c r="I178" s="74">
        <f t="shared" si="68"/>
        <v>155.66999999999999</v>
      </c>
      <c r="J178" s="75">
        <f>+M178-G178</f>
        <v>46.700000000000728</v>
      </c>
      <c r="K178" s="76">
        <f>E178+H178</f>
        <v>109.1</v>
      </c>
      <c r="L178" s="77">
        <f t="shared" ref="L178" si="71">+I178</f>
        <v>155.66999999999999</v>
      </c>
      <c r="M178" s="78">
        <f t="shared" ref="M178" si="72">ROUND(ROUND(L178,1)*ROUND(K178,1),1)</f>
        <v>16986.900000000001</v>
      </c>
    </row>
    <row r="179" spans="1:13" s="89" customFormat="1" ht="18" customHeight="1">
      <c r="A179" s="60" t="s">
        <v>112</v>
      </c>
      <c r="B179" s="61" t="s">
        <v>224</v>
      </c>
      <c r="C179" s="62"/>
      <c r="D179" s="62"/>
      <c r="E179" s="62"/>
      <c r="F179" s="63"/>
      <c r="G179" s="64"/>
      <c r="H179" s="65"/>
      <c r="I179" s="65"/>
      <c r="J179" s="65"/>
      <c r="K179" s="65"/>
      <c r="L179" s="64"/>
      <c r="M179" s="64"/>
    </row>
    <row r="180" spans="1:13" s="89" customFormat="1" ht="23.1" customHeight="1">
      <c r="A180" s="66" t="s">
        <v>69</v>
      </c>
      <c r="B180" s="67" t="s">
        <v>277</v>
      </c>
      <c r="C180" s="68" t="s">
        <v>282</v>
      </c>
      <c r="D180" s="69" t="s">
        <v>51</v>
      </c>
      <c r="E180" s="70">
        <v>88</v>
      </c>
      <c r="F180" s="71">
        <v>220.96</v>
      </c>
      <c r="G180" s="72">
        <f t="shared" si="63"/>
        <v>19448</v>
      </c>
      <c r="H180" s="73">
        <v>0.3</v>
      </c>
      <c r="I180" s="74">
        <f t="shared" si="68"/>
        <v>220.96</v>
      </c>
      <c r="J180" s="75">
        <f t="shared" ref="J180:J185" si="73">+M180-G180</f>
        <v>66.299999999999272</v>
      </c>
      <c r="K180" s="76">
        <f t="shared" ref="K180:K185" si="74">E180+H180</f>
        <v>88.3</v>
      </c>
      <c r="L180" s="77">
        <f t="shared" ref="L180:L185" si="75">+I180</f>
        <v>220.96</v>
      </c>
      <c r="M180" s="78">
        <f t="shared" ref="M180:M185" si="76">ROUND(ROUND(L180,1)*ROUND(K180,1),1)</f>
        <v>19514.3</v>
      </c>
    </row>
    <row r="181" spans="1:13" s="89" customFormat="1" ht="23.1" customHeight="1">
      <c r="A181" s="66" t="s">
        <v>70</v>
      </c>
      <c r="B181" s="67" t="s">
        <v>278</v>
      </c>
      <c r="C181" s="68" t="s">
        <v>283</v>
      </c>
      <c r="D181" s="69" t="s">
        <v>51</v>
      </c>
      <c r="E181" s="70">
        <v>88</v>
      </c>
      <c r="F181" s="71">
        <v>1227.0999999999999</v>
      </c>
      <c r="G181" s="72">
        <f t="shared" si="63"/>
        <v>107984.8</v>
      </c>
      <c r="H181" s="73">
        <v>0.3</v>
      </c>
      <c r="I181" s="74">
        <f t="shared" si="68"/>
        <v>1227.0999999999999</v>
      </c>
      <c r="J181" s="75">
        <f t="shared" si="73"/>
        <v>368.09999999999127</v>
      </c>
      <c r="K181" s="76">
        <f t="shared" si="74"/>
        <v>88.3</v>
      </c>
      <c r="L181" s="77">
        <f t="shared" si="75"/>
        <v>1227.0999999999999</v>
      </c>
      <c r="M181" s="78">
        <f t="shared" si="76"/>
        <v>108352.9</v>
      </c>
    </row>
    <row r="182" spans="1:13" s="89" customFormat="1" ht="18" customHeight="1">
      <c r="A182" s="66" t="s">
        <v>215</v>
      </c>
      <c r="B182" s="67" t="s">
        <v>279</v>
      </c>
      <c r="C182" s="68" t="s">
        <v>284</v>
      </c>
      <c r="D182" s="69" t="s">
        <v>51</v>
      </c>
      <c r="E182" s="70">
        <v>100</v>
      </c>
      <c r="F182" s="71">
        <v>26.3</v>
      </c>
      <c r="G182" s="72">
        <f t="shared" si="63"/>
        <v>2630</v>
      </c>
      <c r="H182" s="73">
        <v>0.3</v>
      </c>
      <c r="I182" s="74">
        <f t="shared" si="68"/>
        <v>26.3</v>
      </c>
      <c r="J182" s="75">
        <f t="shared" si="73"/>
        <v>7.9000000000000909</v>
      </c>
      <c r="K182" s="76">
        <f t="shared" si="74"/>
        <v>100.3</v>
      </c>
      <c r="L182" s="77">
        <f t="shared" si="75"/>
        <v>26.3</v>
      </c>
      <c r="M182" s="78">
        <f t="shared" si="76"/>
        <v>2637.9</v>
      </c>
    </row>
    <row r="183" spans="1:13" s="89" customFormat="1" ht="18" customHeight="1">
      <c r="A183" s="66" t="s">
        <v>216</v>
      </c>
      <c r="B183" s="67" t="s">
        <v>280</v>
      </c>
      <c r="C183" s="68" t="s">
        <v>285</v>
      </c>
      <c r="D183" s="69" t="s">
        <v>51</v>
      </c>
      <c r="E183" s="70">
        <v>100</v>
      </c>
      <c r="F183" s="71">
        <v>34.200000000000003</v>
      </c>
      <c r="G183" s="72">
        <f t="shared" si="63"/>
        <v>3420</v>
      </c>
      <c r="H183" s="73">
        <v>0.3</v>
      </c>
      <c r="I183" s="74">
        <f t="shared" si="68"/>
        <v>34.200000000000003</v>
      </c>
      <c r="J183" s="75">
        <f t="shared" si="73"/>
        <v>10.300000000000182</v>
      </c>
      <c r="K183" s="76">
        <f t="shared" si="74"/>
        <v>100.3</v>
      </c>
      <c r="L183" s="77">
        <f t="shared" si="75"/>
        <v>34.200000000000003</v>
      </c>
      <c r="M183" s="78">
        <f t="shared" si="76"/>
        <v>3430.3</v>
      </c>
    </row>
    <row r="184" spans="1:13" s="89" customFormat="1" ht="18" customHeight="1">
      <c r="A184" s="66" t="s">
        <v>218</v>
      </c>
      <c r="B184" s="67" t="s">
        <v>281</v>
      </c>
      <c r="C184" s="68" t="s">
        <v>286</v>
      </c>
      <c r="D184" s="69" t="s">
        <v>51</v>
      </c>
      <c r="E184" s="70">
        <v>88</v>
      </c>
      <c r="F184" s="71">
        <v>26.3</v>
      </c>
      <c r="G184" s="72">
        <f t="shared" si="63"/>
        <v>2314.4</v>
      </c>
      <c r="H184" s="73">
        <v>0.3</v>
      </c>
      <c r="I184" s="74">
        <f t="shared" si="68"/>
        <v>26.3</v>
      </c>
      <c r="J184" s="75">
        <f t="shared" si="73"/>
        <v>7.9000000000000909</v>
      </c>
      <c r="K184" s="76">
        <f t="shared" si="74"/>
        <v>88.3</v>
      </c>
      <c r="L184" s="77">
        <f t="shared" si="75"/>
        <v>26.3</v>
      </c>
      <c r="M184" s="78">
        <f t="shared" si="76"/>
        <v>2322.3000000000002</v>
      </c>
    </row>
    <row r="185" spans="1:13" s="89" customFormat="1" ht="18" customHeight="1">
      <c r="A185" s="66" t="s">
        <v>72</v>
      </c>
      <c r="B185" s="67" t="s">
        <v>238</v>
      </c>
      <c r="C185" s="68" t="s">
        <v>241</v>
      </c>
      <c r="D185" s="69" t="s">
        <v>51</v>
      </c>
      <c r="E185" s="70">
        <v>100</v>
      </c>
      <c r="F185" s="172">
        <v>9.2100000000000009</v>
      </c>
      <c r="G185" s="72">
        <f t="shared" si="63"/>
        <v>920</v>
      </c>
      <c r="H185" s="73">
        <v>0.3</v>
      </c>
      <c r="I185" s="74">
        <f t="shared" si="68"/>
        <v>9.2100000000000009</v>
      </c>
      <c r="J185" s="75">
        <f t="shared" si="73"/>
        <v>2.7999999999999545</v>
      </c>
      <c r="K185" s="76">
        <f t="shared" si="74"/>
        <v>100.3</v>
      </c>
      <c r="L185" s="77">
        <f t="shared" si="75"/>
        <v>9.2100000000000009</v>
      </c>
      <c r="M185" s="78">
        <f t="shared" si="76"/>
        <v>922.8</v>
      </c>
    </row>
    <row r="186" spans="1:13" s="89" customFormat="1" ht="18" customHeight="1">
      <c r="A186" s="60" t="s">
        <v>0</v>
      </c>
      <c r="B186" s="61" t="s">
        <v>47</v>
      </c>
      <c r="C186" s="62"/>
      <c r="D186" s="62"/>
      <c r="E186" s="62"/>
      <c r="F186" s="63"/>
      <c r="G186" s="64"/>
      <c r="H186" s="65"/>
      <c r="I186" s="65"/>
      <c r="J186" s="65"/>
      <c r="K186" s="65"/>
      <c r="L186" s="64"/>
      <c r="M186" s="64"/>
    </row>
    <row r="187" spans="1:13" s="89" customFormat="1" ht="18" customHeight="1">
      <c r="A187" s="66" t="s">
        <v>73</v>
      </c>
      <c r="B187" s="67" t="s">
        <v>287</v>
      </c>
      <c r="C187" s="68" t="s">
        <v>288</v>
      </c>
      <c r="D187" s="69" t="s">
        <v>51</v>
      </c>
      <c r="E187" s="70">
        <v>100</v>
      </c>
      <c r="F187" s="71">
        <v>60.5</v>
      </c>
      <c r="G187" s="72">
        <f t="shared" si="63"/>
        <v>6050</v>
      </c>
      <c r="H187" s="73">
        <v>0.3</v>
      </c>
      <c r="I187" s="74">
        <f t="shared" si="68"/>
        <v>60.5</v>
      </c>
      <c r="J187" s="75">
        <f t="shared" ref="J187:J190" si="77">+M187-G187</f>
        <v>18.199999999999818</v>
      </c>
      <c r="K187" s="76">
        <f t="shared" ref="K187:K190" si="78">E187+H187</f>
        <v>100.3</v>
      </c>
      <c r="L187" s="77">
        <f t="shared" ref="L187:L190" si="79">+I187</f>
        <v>60.5</v>
      </c>
      <c r="M187" s="78">
        <f t="shared" ref="M187:M190" si="80">ROUND(ROUND(L187,1)*ROUND(K187,1),1)</f>
        <v>6068.2</v>
      </c>
    </row>
    <row r="188" spans="1:13" s="89" customFormat="1" ht="18" customHeight="1">
      <c r="A188" s="66" t="s">
        <v>74</v>
      </c>
      <c r="B188" s="67" t="s">
        <v>56</v>
      </c>
      <c r="C188" s="68" t="s">
        <v>57</v>
      </c>
      <c r="D188" s="69" t="s">
        <v>58</v>
      </c>
      <c r="E188" s="70">
        <v>60</v>
      </c>
      <c r="F188" s="71">
        <v>51.29</v>
      </c>
      <c r="G188" s="72">
        <f t="shared" si="63"/>
        <v>3078</v>
      </c>
      <c r="H188" s="73">
        <f>0.3*1*0.1*1.8</f>
        <v>5.3999999999999999E-2</v>
      </c>
      <c r="I188" s="74">
        <f t="shared" si="68"/>
        <v>51.29</v>
      </c>
      <c r="J188" s="75">
        <f t="shared" si="77"/>
        <v>5.0999999999999091</v>
      </c>
      <c r="K188" s="76">
        <f t="shared" si="78"/>
        <v>60.054000000000002</v>
      </c>
      <c r="L188" s="77">
        <f t="shared" si="79"/>
        <v>51.29</v>
      </c>
      <c r="M188" s="78">
        <f t="shared" si="80"/>
        <v>3083.1</v>
      </c>
    </row>
    <row r="189" spans="1:13" s="89" customFormat="1" ht="23.1" customHeight="1">
      <c r="A189" s="66" t="s">
        <v>228</v>
      </c>
      <c r="B189" s="67" t="s">
        <v>245</v>
      </c>
      <c r="C189" s="68" t="s">
        <v>247</v>
      </c>
      <c r="D189" s="69" t="s">
        <v>58</v>
      </c>
      <c r="E189" s="70">
        <v>56.3</v>
      </c>
      <c r="F189" s="71">
        <v>154.66999999999999</v>
      </c>
      <c r="G189" s="72">
        <f t="shared" si="63"/>
        <v>8709.6</v>
      </c>
      <c r="H189" s="73">
        <f>0.3*1*0.1*1.8</f>
        <v>5.3999999999999999E-2</v>
      </c>
      <c r="I189" s="74">
        <f t="shared" si="68"/>
        <v>154.66999999999999</v>
      </c>
      <c r="J189" s="75">
        <f t="shared" si="77"/>
        <v>15.5</v>
      </c>
      <c r="K189" s="76">
        <f t="shared" si="78"/>
        <v>56.353999999999999</v>
      </c>
      <c r="L189" s="77">
        <f t="shared" si="79"/>
        <v>154.66999999999999</v>
      </c>
      <c r="M189" s="78">
        <f t="shared" si="80"/>
        <v>8725.1</v>
      </c>
    </row>
    <row r="190" spans="1:13" s="89" customFormat="1" ht="18" customHeight="1">
      <c r="A190" s="66" t="s">
        <v>76</v>
      </c>
      <c r="B190" s="67" t="s">
        <v>66</v>
      </c>
      <c r="C190" s="68" t="s">
        <v>64</v>
      </c>
      <c r="D190" s="69" t="s">
        <v>58</v>
      </c>
      <c r="E190" s="70">
        <v>60</v>
      </c>
      <c r="F190" s="71">
        <v>80.23</v>
      </c>
      <c r="G190" s="72">
        <f t="shared" si="63"/>
        <v>4812</v>
      </c>
      <c r="H190" s="73">
        <f>0.3*1*0.1*1.8</f>
        <v>5.3999999999999999E-2</v>
      </c>
      <c r="I190" s="74">
        <f t="shared" si="68"/>
        <v>80.23</v>
      </c>
      <c r="J190" s="75">
        <f t="shared" si="77"/>
        <v>8</v>
      </c>
      <c r="K190" s="76">
        <f t="shared" si="78"/>
        <v>60.054000000000002</v>
      </c>
      <c r="L190" s="77">
        <f t="shared" si="79"/>
        <v>80.23</v>
      </c>
      <c r="M190" s="78">
        <f t="shared" si="80"/>
        <v>4820</v>
      </c>
    </row>
    <row r="191" spans="1:13" s="89" customFormat="1" ht="18" customHeight="1">
      <c r="A191" s="144"/>
      <c r="B191" s="144"/>
      <c r="C191" s="80"/>
      <c r="D191" s="80"/>
      <c r="E191" s="152"/>
      <c r="F191" s="40"/>
      <c r="G191" s="82">
        <f>SUM(G154:G190)</f>
        <v>556614.19999999995</v>
      </c>
      <c r="H191" s="83"/>
      <c r="I191" s="84"/>
      <c r="J191" s="85">
        <f>SUM(J154:J190)</f>
        <v>1274.1999999999896</v>
      </c>
      <c r="K191" s="86"/>
      <c r="L191" s="87"/>
      <c r="M191" s="88">
        <f>SUM(M154:M190)</f>
        <v>557888.4</v>
      </c>
    </row>
    <row r="192" spans="1:13" s="89" customFormat="1" ht="18" customHeight="1">
      <c r="A192" s="144"/>
      <c r="B192" s="144"/>
      <c r="C192" s="80"/>
      <c r="D192" s="80"/>
      <c r="E192" s="152"/>
      <c r="F192" s="40"/>
      <c r="G192" s="82"/>
      <c r="H192" s="83"/>
      <c r="I192" s="84"/>
      <c r="J192" s="85"/>
      <c r="K192" s="86"/>
      <c r="L192" s="87"/>
      <c r="M192" s="88"/>
    </row>
    <row r="193" spans="1:17" s="89" customFormat="1" ht="18" customHeight="1">
      <c r="A193" s="196" t="s">
        <v>292</v>
      </c>
      <c r="B193" s="197"/>
      <c r="C193" s="197"/>
      <c r="D193" s="197"/>
      <c r="E193" s="152"/>
      <c r="F193" s="40"/>
      <c r="G193" s="82"/>
      <c r="H193" s="83"/>
      <c r="I193" s="84"/>
      <c r="J193" s="85"/>
      <c r="K193" s="86"/>
      <c r="L193" s="87"/>
      <c r="M193" s="88"/>
    </row>
    <row r="194" spans="1:17" s="89" customFormat="1" ht="18" customHeight="1">
      <c r="A194" s="144"/>
      <c r="B194" s="144"/>
      <c r="C194" s="80"/>
      <c r="D194" s="80"/>
      <c r="E194" s="152"/>
      <c r="F194" s="40"/>
      <c r="G194" s="82"/>
      <c r="H194" s="83"/>
      <c r="I194" s="84"/>
      <c r="J194" s="85"/>
      <c r="K194" s="86"/>
      <c r="L194" s="87"/>
      <c r="M194" s="88"/>
    </row>
    <row r="195" spans="1:17" s="89" customFormat="1" ht="18" customHeight="1">
      <c r="A195" s="46" t="s">
        <v>293</v>
      </c>
      <c r="B195" s="47" t="s">
        <v>330</v>
      </c>
      <c r="C195" s="40"/>
      <c r="D195" s="40"/>
      <c r="E195" s="198" t="s">
        <v>1</v>
      </c>
      <c r="F195" s="198"/>
      <c r="G195" s="198"/>
      <c r="H195" s="199" t="s">
        <v>10</v>
      </c>
      <c r="I195" s="199"/>
      <c r="J195" s="199"/>
      <c r="K195" s="200" t="s">
        <v>11</v>
      </c>
      <c r="L195" s="200"/>
      <c r="M195" s="200"/>
      <c r="N195" s="166" t="s">
        <v>318</v>
      </c>
      <c r="Q195" s="170" t="s">
        <v>329</v>
      </c>
    </row>
    <row r="196" spans="1:17" s="89" customFormat="1" ht="26.1" customHeight="1">
      <c r="A196" s="48" t="s">
        <v>12</v>
      </c>
      <c r="B196" s="145" t="s">
        <v>13</v>
      </c>
      <c r="C196" s="48" t="s">
        <v>13</v>
      </c>
      <c r="D196" s="145" t="s">
        <v>14</v>
      </c>
      <c r="E196" s="146" t="s">
        <v>15</v>
      </c>
      <c r="F196" s="147" t="s">
        <v>16</v>
      </c>
      <c r="G196" s="52" t="s">
        <v>17</v>
      </c>
      <c r="H196" s="53" t="s">
        <v>15</v>
      </c>
      <c r="I196" s="54" t="s">
        <v>18</v>
      </c>
      <c r="J196" s="55" t="s">
        <v>17</v>
      </c>
      <c r="K196" s="56" t="s">
        <v>15</v>
      </c>
      <c r="L196" s="57" t="s">
        <v>18</v>
      </c>
      <c r="M196" s="58" t="s">
        <v>19</v>
      </c>
    </row>
    <row r="197" spans="1:17" s="89" customFormat="1" ht="18" customHeight="1">
      <c r="A197" s="60" t="s">
        <v>32</v>
      </c>
      <c r="B197" s="61" t="s">
        <v>33</v>
      </c>
      <c r="C197" s="62"/>
      <c r="D197" s="62"/>
      <c r="E197" s="62"/>
      <c r="F197" s="63"/>
      <c r="G197" s="64"/>
      <c r="H197" s="65"/>
      <c r="I197" s="65"/>
      <c r="J197" s="65"/>
      <c r="K197" s="64"/>
      <c r="L197" s="64"/>
      <c r="M197" s="64"/>
    </row>
    <row r="198" spans="1:17" s="89" customFormat="1" ht="23.1" customHeight="1">
      <c r="A198" s="66" t="s">
        <v>32</v>
      </c>
      <c r="B198" s="67" t="s">
        <v>121</v>
      </c>
      <c r="C198" s="68" t="s">
        <v>176</v>
      </c>
      <c r="D198" s="69" t="s">
        <v>36</v>
      </c>
      <c r="E198" s="155">
        <v>145</v>
      </c>
      <c r="F198" s="71">
        <v>23.67</v>
      </c>
      <c r="G198" s="151">
        <f t="shared" ref="G198:G234" si="81">ROUND(ROUND(F198,1)*ROUND(E198,1),1)</f>
        <v>3436.5</v>
      </c>
      <c r="H198" s="73">
        <f>(1.7*1)</f>
        <v>1.7</v>
      </c>
      <c r="I198" s="74">
        <f>F198</f>
        <v>23.67</v>
      </c>
      <c r="J198" s="75">
        <f t="shared" ref="J198:J218" si="82">+M198-G198</f>
        <v>40.300000000000182</v>
      </c>
      <c r="K198" s="76">
        <f t="shared" ref="K198:K218" si="83">E198+H198</f>
        <v>146.69999999999999</v>
      </c>
      <c r="L198" s="77">
        <f t="shared" ref="L198:L218" si="84">+I198</f>
        <v>23.67</v>
      </c>
      <c r="M198" s="78">
        <f t="shared" ref="M198:M218" si="85">ROUND(ROUND(L198,1)*ROUND(K198,1),1)</f>
        <v>3476.8</v>
      </c>
    </row>
    <row r="199" spans="1:17" s="89" customFormat="1" ht="18" customHeight="1">
      <c r="A199" s="66" t="s">
        <v>110</v>
      </c>
      <c r="B199" s="67" t="s">
        <v>262</v>
      </c>
      <c r="C199" s="68" t="s">
        <v>264</v>
      </c>
      <c r="D199" s="69" t="s">
        <v>180</v>
      </c>
      <c r="E199" s="155">
        <v>69.2</v>
      </c>
      <c r="F199" s="71">
        <v>257.77999999999997</v>
      </c>
      <c r="G199" s="151">
        <f t="shared" si="81"/>
        <v>17839.8</v>
      </c>
      <c r="H199" s="73">
        <f>(1.7*1*1.5)*0.42</f>
        <v>1.071</v>
      </c>
      <c r="I199" s="74">
        <f t="shared" ref="I199:I234" si="86">F199</f>
        <v>257.77999999999997</v>
      </c>
      <c r="J199" s="75">
        <f t="shared" si="82"/>
        <v>283.5</v>
      </c>
      <c r="K199" s="76">
        <f t="shared" si="83"/>
        <v>70.271000000000001</v>
      </c>
      <c r="L199" s="77">
        <f t="shared" si="84"/>
        <v>257.77999999999997</v>
      </c>
      <c r="M199" s="78">
        <f t="shared" si="85"/>
        <v>18123.3</v>
      </c>
    </row>
    <row r="200" spans="1:17" s="89" customFormat="1" ht="18" customHeight="1">
      <c r="A200" s="66" t="s">
        <v>111</v>
      </c>
      <c r="B200" s="67" t="s">
        <v>137</v>
      </c>
      <c r="C200" s="68" t="s">
        <v>182</v>
      </c>
      <c r="D200" s="69" t="s">
        <v>180</v>
      </c>
      <c r="E200" s="155">
        <v>69.2</v>
      </c>
      <c r="F200" s="71">
        <v>13.15</v>
      </c>
      <c r="G200" s="151">
        <f t="shared" si="81"/>
        <v>913.4</v>
      </c>
      <c r="H200" s="73">
        <f>(1.7*1*1.5)*0.42</f>
        <v>1.071</v>
      </c>
      <c r="I200" s="74">
        <f t="shared" si="86"/>
        <v>13.15</v>
      </c>
      <c r="J200" s="75">
        <f t="shared" si="82"/>
        <v>14.600000000000023</v>
      </c>
      <c r="K200" s="76">
        <f t="shared" si="83"/>
        <v>70.271000000000001</v>
      </c>
      <c r="L200" s="77">
        <f t="shared" si="84"/>
        <v>13.15</v>
      </c>
      <c r="M200" s="78">
        <f t="shared" si="85"/>
        <v>928</v>
      </c>
    </row>
    <row r="201" spans="1:17" s="89" customFormat="1" ht="18" customHeight="1">
      <c r="A201" s="66" t="s">
        <v>0</v>
      </c>
      <c r="B201" s="67" t="s">
        <v>263</v>
      </c>
      <c r="C201" s="68" t="s">
        <v>265</v>
      </c>
      <c r="D201" s="69" t="s">
        <v>180</v>
      </c>
      <c r="E201" s="155">
        <v>70.900000000000006</v>
      </c>
      <c r="F201" s="71">
        <v>315.64999999999998</v>
      </c>
      <c r="G201" s="151">
        <f t="shared" si="81"/>
        <v>22383.1</v>
      </c>
      <c r="H201" s="73">
        <f>(1.7*1*1.5)*0.45</f>
        <v>1.1475</v>
      </c>
      <c r="I201" s="74">
        <f t="shared" si="86"/>
        <v>315.64999999999998</v>
      </c>
      <c r="J201" s="75">
        <f t="shared" si="82"/>
        <v>347.30000000000291</v>
      </c>
      <c r="K201" s="76">
        <f t="shared" si="83"/>
        <v>72.047499999999999</v>
      </c>
      <c r="L201" s="77">
        <f t="shared" si="84"/>
        <v>315.64999999999998</v>
      </c>
      <c r="M201" s="78">
        <f t="shared" si="85"/>
        <v>22730.400000000001</v>
      </c>
    </row>
    <row r="202" spans="1:17" s="89" customFormat="1" ht="18" customHeight="1">
      <c r="A202" s="66" t="s">
        <v>113</v>
      </c>
      <c r="B202" s="67" t="s">
        <v>141</v>
      </c>
      <c r="C202" s="68" t="s">
        <v>184</v>
      </c>
      <c r="D202" s="69" t="s">
        <v>180</v>
      </c>
      <c r="E202" s="155">
        <v>74.099999999999994</v>
      </c>
      <c r="F202" s="71">
        <v>15.78</v>
      </c>
      <c r="G202" s="151">
        <f t="shared" si="81"/>
        <v>1170.8</v>
      </c>
      <c r="H202" s="73">
        <f>(1.7*1*1.5)*0.45</f>
        <v>1.1475</v>
      </c>
      <c r="I202" s="74">
        <f t="shared" si="86"/>
        <v>15.78</v>
      </c>
      <c r="J202" s="75">
        <f t="shared" si="82"/>
        <v>17.400000000000091</v>
      </c>
      <c r="K202" s="76">
        <f t="shared" si="83"/>
        <v>75.247499999999988</v>
      </c>
      <c r="L202" s="77">
        <f t="shared" si="84"/>
        <v>15.78</v>
      </c>
      <c r="M202" s="78">
        <f t="shared" si="85"/>
        <v>1188.2</v>
      </c>
    </row>
    <row r="203" spans="1:17" s="89" customFormat="1" ht="23.1" customHeight="1">
      <c r="A203" s="66" t="s">
        <v>114</v>
      </c>
      <c r="B203" s="67" t="s">
        <v>143</v>
      </c>
      <c r="C203" s="68" t="s">
        <v>185</v>
      </c>
      <c r="D203" s="69" t="s">
        <v>180</v>
      </c>
      <c r="E203" s="155">
        <v>1.3</v>
      </c>
      <c r="F203" s="71">
        <v>1569.06</v>
      </c>
      <c r="G203" s="151">
        <f t="shared" si="81"/>
        <v>2039.8</v>
      </c>
      <c r="H203" s="73">
        <f>(1.7*1*1.5)*0.01</f>
        <v>2.5499999999999998E-2</v>
      </c>
      <c r="I203" s="74">
        <f t="shared" si="86"/>
        <v>1569.06</v>
      </c>
      <c r="J203" s="75">
        <f t="shared" si="82"/>
        <v>0</v>
      </c>
      <c r="K203" s="76">
        <f t="shared" si="83"/>
        <v>1.3255000000000001</v>
      </c>
      <c r="L203" s="77">
        <f t="shared" si="84"/>
        <v>1569.06</v>
      </c>
      <c r="M203" s="78">
        <f t="shared" si="85"/>
        <v>2039.8</v>
      </c>
    </row>
    <row r="204" spans="1:17" s="89" customFormat="1" ht="23.1" customHeight="1">
      <c r="A204" s="66" t="s">
        <v>115</v>
      </c>
      <c r="B204" s="67" t="s">
        <v>145</v>
      </c>
      <c r="C204" s="68" t="s">
        <v>186</v>
      </c>
      <c r="D204" s="69" t="s">
        <v>180</v>
      </c>
      <c r="E204" s="155">
        <v>2</v>
      </c>
      <c r="F204" s="71">
        <v>2149.0700000000002</v>
      </c>
      <c r="G204" s="151">
        <f t="shared" si="81"/>
        <v>4298.2</v>
      </c>
      <c r="H204" s="73">
        <f>(1.7*1*1.5)*0.02</f>
        <v>5.0999999999999997E-2</v>
      </c>
      <c r="I204" s="74">
        <f t="shared" si="86"/>
        <v>2149.0700000000002</v>
      </c>
      <c r="J204" s="75">
        <f t="shared" si="82"/>
        <v>214.90000000000055</v>
      </c>
      <c r="K204" s="76">
        <f t="shared" si="83"/>
        <v>2.0510000000000002</v>
      </c>
      <c r="L204" s="77">
        <f t="shared" si="84"/>
        <v>2149.0700000000002</v>
      </c>
      <c r="M204" s="78">
        <f t="shared" si="85"/>
        <v>4513.1000000000004</v>
      </c>
    </row>
    <row r="205" spans="1:17" s="89" customFormat="1" ht="18" customHeight="1">
      <c r="A205" s="66" t="s">
        <v>116</v>
      </c>
      <c r="B205" s="67" t="s">
        <v>148</v>
      </c>
      <c r="C205" s="68" t="s">
        <v>187</v>
      </c>
      <c r="D205" s="69" t="s">
        <v>36</v>
      </c>
      <c r="E205" s="155">
        <v>333.3</v>
      </c>
      <c r="F205" s="71">
        <v>99.96</v>
      </c>
      <c r="G205" s="151">
        <f t="shared" si="81"/>
        <v>33330</v>
      </c>
      <c r="H205" s="73">
        <f>(2*1.6*1.7)</f>
        <v>5.44</v>
      </c>
      <c r="I205" s="74">
        <f t="shared" si="86"/>
        <v>99.96</v>
      </c>
      <c r="J205" s="75">
        <f t="shared" si="82"/>
        <v>540</v>
      </c>
      <c r="K205" s="76">
        <f t="shared" si="83"/>
        <v>338.74</v>
      </c>
      <c r="L205" s="77">
        <f t="shared" si="84"/>
        <v>99.96</v>
      </c>
      <c r="M205" s="78">
        <f t="shared" si="85"/>
        <v>33870</v>
      </c>
    </row>
    <row r="206" spans="1:17" s="89" customFormat="1" ht="18" customHeight="1">
      <c r="A206" s="66" t="s">
        <v>117</v>
      </c>
      <c r="B206" s="67" t="s">
        <v>150</v>
      </c>
      <c r="C206" s="68" t="s">
        <v>188</v>
      </c>
      <c r="D206" s="69" t="s">
        <v>36</v>
      </c>
      <c r="E206" s="155">
        <v>333.3</v>
      </c>
      <c r="F206" s="71">
        <v>149.94</v>
      </c>
      <c r="G206" s="151">
        <f t="shared" si="81"/>
        <v>49961.7</v>
      </c>
      <c r="H206" s="73">
        <f>(2*1.6*1.7)</f>
        <v>5.44</v>
      </c>
      <c r="I206" s="74">
        <f t="shared" si="86"/>
        <v>149.94</v>
      </c>
      <c r="J206" s="75">
        <f t="shared" si="82"/>
        <v>809.40000000000146</v>
      </c>
      <c r="K206" s="76">
        <f t="shared" si="83"/>
        <v>338.74</v>
      </c>
      <c r="L206" s="77">
        <f t="shared" si="84"/>
        <v>149.94</v>
      </c>
      <c r="M206" s="78">
        <f t="shared" si="85"/>
        <v>50771.1</v>
      </c>
    </row>
    <row r="207" spans="1:17" s="89" customFormat="1" ht="18" customHeight="1">
      <c r="A207" s="66" t="s">
        <v>118</v>
      </c>
      <c r="B207" s="67" t="s">
        <v>252</v>
      </c>
      <c r="C207" s="68" t="s">
        <v>256</v>
      </c>
      <c r="D207" s="69" t="s">
        <v>180</v>
      </c>
      <c r="E207" s="155">
        <v>143.30000000000001</v>
      </c>
      <c r="F207" s="71">
        <v>13.15</v>
      </c>
      <c r="G207" s="151">
        <f t="shared" si="81"/>
        <v>1891.6</v>
      </c>
      <c r="H207" s="73">
        <f>H199+H201</f>
        <v>2.2184999999999997</v>
      </c>
      <c r="I207" s="74">
        <f t="shared" si="86"/>
        <v>13.15</v>
      </c>
      <c r="J207" s="75">
        <f t="shared" si="82"/>
        <v>29</v>
      </c>
      <c r="K207" s="76">
        <f t="shared" si="83"/>
        <v>145.51850000000002</v>
      </c>
      <c r="L207" s="77">
        <f t="shared" si="84"/>
        <v>13.15</v>
      </c>
      <c r="M207" s="78">
        <f t="shared" si="85"/>
        <v>1920.6</v>
      </c>
    </row>
    <row r="208" spans="1:17" s="89" customFormat="1" ht="18" customHeight="1">
      <c r="A208" s="66" t="s">
        <v>119</v>
      </c>
      <c r="B208" s="67" t="s">
        <v>269</v>
      </c>
      <c r="C208" s="68" t="s">
        <v>272</v>
      </c>
      <c r="D208" s="69" t="s">
        <v>180</v>
      </c>
      <c r="E208" s="155">
        <v>3.3</v>
      </c>
      <c r="F208" s="71">
        <v>19.73</v>
      </c>
      <c r="G208" s="151">
        <f t="shared" si="81"/>
        <v>65</v>
      </c>
      <c r="H208" s="73">
        <f>H203+H204</f>
        <v>7.6499999999999999E-2</v>
      </c>
      <c r="I208" s="74">
        <f t="shared" si="86"/>
        <v>19.73</v>
      </c>
      <c r="J208" s="75">
        <f t="shared" si="82"/>
        <v>2</v>
      </c>
      <c r="K208" s="76">
        <f t="shared" si="83"/>
        <v>3.3764999999999996</v>
      </c>
      <c r="L208" s="77">
        <f t="shared" si="84"/>
        <v>19.73</v>
      </c>
      <c r="M208" s="78">
        <f t="shared" si="85"/>
        <v>67</v>
      </c>
    </row>
    <row r="209" spans="1:13" s="89" customFormat="1" ht="18" customHeight="1">
      <c r="A209" s="66" t="s">
        <v>120</v>
      </c>
      <c r="B209" s="67" t="s">
        <v>270</v>
      </c>
      <c r="C209" s="68" t="s">
        <v>273</v>
      </c>
      <c r="D209" s="69" t="s">
        <v>180</v>
      </c>
      <c r="E209" s="155">
        <v>93.2</v>
      </c>
      <c r="F209" s="71">
        <v>44.72</v>
      </c>
      <c r="G209" s="151">
        <f t="shared" si="81"/>
        <v>4166</v>
      </c>
      <c r="H209" s="73">
        <f>H207</f>
        <v>2.2184999999999997</v>
      </c>
      <c r="I209" s="74">
        <f t="shared" si="86"/>
        <v>44.72</v>
      </c>
      <c r="J209" s="75">
        <f t="shared" si="82"/>
        <v>98.399999999999636</v>
      </c>
      <c r="K209" s="76">
        <f t="shared" si="83"/>
        <v>95.418500000000009</v>
      </c>
      <c r="L209" s="77">
        <f t="shared" si="84"/>
        <v>44.72</v>
      </c>
      <c r="M209" s="78">
        <f t="shared" si="85"/>
        <v>4264.3999999999996</v>
      </c>
    </row>
    <row r="210" spans="1:13" s="89" customFormat="1" ht="18" customHeight="1">
      <c r="A210" s="66" t="s">
        <v>34</v>
      </c>
      <c r="B210" s="67" t="s">
        <v>253</v>
      </c>
      <c r="C210" s="68" t="s">
        <v>257</v>
      </c>
      <c r="D210" s="69" t="s">
        <v>180</v>
      </c>
      <c r="E210" s="155">
        <v>3.3</v>
      </c>
      <c r="F210" s="71">
        <v>51.29</v>
      </c>
      <c r="G210" s="151">
        <f t="shared" si="81"/>
        <v>169.3</v>
      </c>
      <c r="H210" s="73">
        <f>H208</f>
        <v>7.6499999999999999E-2</v>
      </c>
      <c r="I210" s="74">
        <f t="shared" si="86"/>
        <v>51.29</v>
      </c>
      <c r="J210" s="75">
        <f t="shared" si="82"/>
        <v>5.0999999999999943</v>
      </c>
      <c r="K210" s="76">
        <f t="shared" si="83"/>
        <v>3.3764999999999996</v>
      </c>
      <c r="L210" s="77">
        <f t="shared" si="84"/>
        <v>51.29</v>
      </c>
      <c r="M210" s="78">
        <f t="shared" si="85"/>
        <v>174.4</v>
      </c>
    </row>
    <row r="211" spans="1:13" s="89" customFormat="1" ht="18" customHeight="1">
      <c r="A211" s="66" t="s">
        <v>126</v>
      </c>
      <c r="B211" s="67" t="s">
        <v>159</v>
      </c>
      <c r="C211" s="68" t="s">
        <v>193</v>
      </c>
      <c r="D211" s="69" t="s">
        <v>180</v>
      </c>
      <c r="E211" s="155">
        <v>223.6</v>
      </c>
      <c r="F211" s="71">
        <v>11.84</v>
      </c>
      <c r="G211" s="151">
        <f t="shared" si="81"/>
        <v>2638.5</v>
      </c>
      <c r="H211" s="73">
        <f>H209+H210</f>
        <v>2.2949999999999995</v>
      </c>
      <c r="I211" s="74">
        <f t="shared" si="86"/>
        <v>11.84</v>
      </c>
      <c r="J211" s="75">
        <f t="shared" si="82"/>
        <v>27.099999999999909</v>
      </c>
      <c r="K211" s="76">
        <f t="shared" si="83"/>
        <v>225.89499999999998</v>
      </c>
      <c r="L211" s="77">
        <f t="shared" si="84"/>
        <v>11.84</v>
      </c>
      <c r="M211" s="78">
        <f t="shared" si="85"/>
        <v>2665.6</v>
      </c>
    </row>
    <row r="212" spans="1:13" s="89" customFormat="1" ht="18" customHeight="1">
      <c r="A212" s="66" t="s">
        <v>127</v>
      </c>
      <c r="B212" s="67" t="s">
        <v>159</v>
      </c>
      <c r="C212" s="68" t="s">
        <v>193</v>
      </c>
      <c r="D212" s="69" t="s">
        <v>180</v>
      </c>
      <c r="E212" s="155">
        <v>130.4</v>
      </c>
      <c r="F212" s="71">
        <v>11.84</v>
      </c>
      <c r="G212" s="151">
        <f t="shared" si="81"/>
        <v>1538.7</v>
      </c>
      <c r="H212" s="73">
        <f>H215+H220</f>
        <v>0.85000000000000009</v>
      </c>
      <c r="I212" s="74">
        <f t="shared" si="86"/>
        <v>11.84</v>
      </c>
      <c r="J212" s="75">
        <f t="shared" si="82"/>
        <v>10.599999999999909</v>
      </c>
      <c r="K212" s="76">
        <f t="shared" si="83"/>
        <v>131.25</v>
      </c>
      <c r="L212" s="77">
        <f t="shared" si="84"/>
        <v>11.84</v>
      </c>
      <c r="M212" s="78">
        <f t="shared" si="85"/>
        <v>1549.3</v>
      </c>
    </row>
    <row r="213" spans="1:13" s="89" customFormat="1" ht="18" customHeight="1">
      <c r="A213" s="66" t="s">
        <v>128</v>
      </c>
      <c r="B213" s="67" t="s">
        <v>162</v>
      </c>
      <c r="C213" s="68" t="s">
        <v>194</v>
      </c>
      <c r="D213" s="69" t="s">
        <v>58</v>
      </c>
      <c r="E213" s="155">
        <v>200.4</v>
      </c>
      <c r="F213" s="71">
        <v>116</v>
      </c>
      <c r="G213" s="151">
        <f t="shared" si="81"/>
        <v>23246.400000000001</v>
      </c>
      <c r="H213" s="73">
        <f>H212*2</f>
        <v>1.7000000000000002</v>
      </c>
      <c r="I213" s="74">
        <f t="shared" si="86"/>
        <v>116</v>
      </c>
      <c r="J213" s="75">
        <f t="shared" si="82"/>
        <v>197.19999999999709</v>
      </c>
      <c r="K213" s="76">
        <f t="shared" si="83"/>
        <v>202.1</v>
      </c>
      <c r="L213" s="77">
        <f t="shared" si="84"/>
        <v>116</v>
      </c>
      <c r="M213" s="78">
        <f t="shared" si="85"/>
        <v>23443.599999999999</v>
      </c>
    </row>
    <row r="214" spans="1:13" s="89" customFormat="1" ht="23.1" customHeight="1">
      <c r="A214" s="66" t="s">
        <v>129</v>
      </c>
      <c r="B214" s="67" t="s">
        <v>164</v>
      </c>
      <c r="C214" s="68" t="s">
        <v>195</v>
      </c>
      <c r="D214" s="69" t="s">
        <v>180</v>
      </c>
      <c r="E214" s="155">
        <v>93.2</v>
      </c>
      <c r="F214" s="71">
        <v>286.72000000000003</v>
      </c>
      <c r="G214" s="151">
        <f t="shared" si="81"/>
        <v>26720.400000000001</v>
      </c>
      <c r="H214" s="73">
        <f>(1*1.7*1)</f>
        <v>1.7</v>
      </c>
      <c r="I214" s="74">
        <f t="shared" si="86"/>
        <v>286.72000000000003</v>
      </c>
      <c r="J214" s="75">
        <f t="shared" si="82"/>
        <v>487.39999999999782</v>
      </c>
      <c r="K214" s="76">
        <f t="shared" si="83"/>
        <v>94.9</v>
      </c>
      <c r="L214" s="77">
        <f t="shared" si="84"/>
        <v>286.72000000000003</v>
      </c>
      <c r="M214" s="78">
        <f t="shared" si="85"/>
        <v>27207.8</v>
      </c>
    </row>
    <row r="215" spans="1:13" s="89" customFormat="1" ht="23.1" customHeight="1">
      <c r="A215" s="66" t="s">
        <v>131</v>
      </c>
      <c r="B215" s="67" t="s">
        <v>166</v>
      </c>
      <c r="C215" s="68" t="s">
        <v>196</v>
      </c>
      <c r="D215" s="69" t="s">
        <v>180</v>
      </c>
      <c r="E215" s="155">
        <v>39.299999999999997</v>
      </c>
      <c r="F215" s="71">
        <v>318.27999999999997</v>
      </c>
      <c r="G215" s="151">
        <f t="shared" si="81"/>
        <v>12509.2</v>
      </c>
      <c r="H215" s="73">
        <f>(1.7*0.4*1)</f>
        <v>0.68</v>
      </c>
      <c r="I215" s="74">
        <f t="shared" si="86"/>
        <v>318.27999999999997</v>
      </c>
      <c r="J215" s="75">
        <f t="shared" si="82"/>
        <v>222.79999999999927</v>
      </c>
      <c r="K215" s="76">
        <f t="shared" si="83"/>
        <v>39.979999999999997</v>
      </c>
      <c r="L215" s="77">
        <f t="shared" si="84"/>
        <v>318.27999999999997</v>
      </c>
      <c r="M215" s="78">
        <f t="shared" si="85"/>
        <v>12732</v>
      </c>
    </row>
    <row r="216" spans="1:13" s="89" customFormat="1" ht="18" customHeight="1">
      <c r="A216" s="66" t="s">
        <v>134</v>
      </c>
      <c r="B216" s="67" t="s">
        <v>271</v>
      </c>
      <c r="C216" s="68" t="s">
        <v>274</v>
      </c>
      <c r="D216" s="69" t="s">
        <v>58</v>
      </c>
      <c r="E216" s="155">
        <v>170.2</v>
      </c>
      <c r="F216" s="71">
        <v>190.76</v>
      </c>
      <c r="G216" s="151">
        <f t="shared" si="81"/>
        <v>32474.2</v>
      </c>
      <c r="H216" s="73">
        <f>H215*2</f>
        <v>1.36</v>
      </c>
      <c r="I216" s="74">
        <f t="shared" si="86"/>
        <v>190.76</v>
      </c>
      <c r="J216" s="75">
        <f t="shared" si="82"/>
        <v>267.09999999999854</v>
      </c>
      <c r="K216" s="76">
        <f t="shared" si="83"/>
        <v>171.56</v>
      </c>
      <c r="L216" s="77">
        <f t="shared" si="84"/>
        <v>190.76</v>
      </c>
      <c r="M216" s="78">
        <f t="shared" si="85"/>
        <v>32741.3</v>
      </c>
    </row>
    <row r="217" spans="1:13" s="89" customFormat="1" ht="18" customHeight="1">
      <c r="A217" s="66" t="s">
        <v>229</v>
      </c>
      <c r="B217" s="67" t="s">
        <v>172</v>
      </c>
      <c r="C217" s="68" t="s">
        <v>198</v>
      </c>
      <c r="D217" s="69" t="s">
        <v>180</v>
      </c>
      <c r="E217" s="155">
        <v>189.1</v>
      </c>
      <c r="F217" s="71">
        <v>160.46</v>
      </c>
      <c r="G217" s="151">
        <f t="shared" si="81"/>
        <v>30350.6</v>
      </c>
      <c r="H217" s="73">
        <f>H211</f>
        <v>2.2949999999999995</v>
      </c>
      <c r="I217" s="74">
        <f t="shared" si="86"/>
        <v>160.46</v>
      </c>
      <c r="J217" s="75">
        <f t="shared" si="82"/>
        <v>369.10000000000218</v>
      </c>
      <c r="K217" s="76">
        <f t="shared" si="83"/>
        <v>191.39499999999998</v>
      </c>
      <c r="L217" s="77">
        <f t="shared" si="84"/>
        <v>160.46</v>
      </c>
      <c r="M217" s="78">
        <f t="shared" si="85"/>
        <v>30719.7</v>
      </c>
    </row>
    <row r="218" spans="1:13" s="89" customFormat="1" ht="18" customHeight="1">
      <c r="A218" s="66" t="s">
        <v>232</v>
      </c>
      <c r="B218" s="67" t="s">
        <v>175</v>
      </c>
      <c r="C218" s="68" t="s">
        <v>199</v>
      </c>
      <c r="D218" s="69" t="s">
        <v>180</v>
      </c>
      <c r="E218" s="155">
        <v>3.3</v>
      </c>
      <c r="F218" s="71">
        <v>247.39</v>
      </c>
      <c r="G218" s="151">
        <f t="shared" si="81"/>
        <v>816.4</v>
      </c>
      <c r="H218" s="73">
        <f>H212</f>
        <v>0.85000000000000009</v>
      </c>
      <c r="I218" s="74">
        <f t="shared" si="86"/>
        <v>247.39</v>
      </c>
      <c r="J218" s="75">
        <f t="shared" si="82"/>
        <v>222.69999999999993</v>
      </c>
      <c r="K218" s="76">
        <f t="shared" si="83"/>
        <v>4.1500000000000004</v>
      </c>
      <c r="L218" s="77">
        <f t="shared" si="84"/>
        <v>247.39</v>
      </c>
      <c r="M218" s="78">
        <f t="shared" si="85"/>
        <v>1039.0999999999999</v>
      </c>
    </row>
    <row r="219" spans="1:13" s="89" customFormat="1" ht="18" customHeight="1">
      <c r="A219" s="60" t="s">
        <v>109</v>
      </c>
      <c r="B219" s="61" t="s">
        <v>207</v>
      </c>
      <c r="C219" s="62"/>
      <c r="D219" s="62"/>
      <c r="E219" s="62"/>
      <c r="F219" s="63"/>
      <c r="G219" s="64"/>
      <c r="H219" s="65"/>
      <c r="I219" s="65"/>
      <c r="J219" s="65"/>
      <c r="K219" s="65"/>
      <c r="L219" s="64"/>
      <c r="M219" s="64"/>
    </row>
    <row r="220" spans="1:13" s="89" customFormat="1" ht="18" customHeight="1">
      <c r="A220" s="66" t="s">
        <v>138</v>
      </c>
      <c r="B220" s="67" t="s">
        <v>275</v>
      </c>
      <c r="C220" s="68" t="s">
        <v>276</v>
      </c>
      <c r="D220" s="69" t="s">
        <v>180</v>
      </c>
      <c r="E220" s="155">
        <v>10.199999999999999</v>
      </c>
      <c r="F220" s="172">
        <v>644.70000000000005</v>
      </c>
      <c r="G220" s="151">
        <f t="shared" si="81"/>
        <v>6575.9</v>
      </c>
      <c r="H220" s="73">
        <f>(1.7*0.1*1)</f>
        <v>0.17</v>
      </c>
      <c r="I220" s="74">
        <f t="shared" si="86"/>
        <v>644.70000000000005</v>
      </c>
      <c r="J220" s="75">
        <f>+M220-G220</f>
        <v>129</v>
      </c>
      <c r="K220" s="76">
        <f>E220+H220</f>
        <v>10.37</v>
      </c>
      <c r="L220" s="77">
        <f t="shared" ref="L220" si="87">+I220</f>
        <v>644.70000000000005</v>
      </c>
      <c r="M220" s="78">
        <f t="shared" ref="M220" si="88">ROUND(ROUND(L220,1)*ROUND(K220,1),1)</f>
        <v>6704.9</v>
      </c>
    </row>
    <row r="221" spans="1:13" s="89" customFormat="1" ht="18" customHeight="1">
      <c r="A221" s="60" t="s">
        <v>37</v>
      </c>
      <c r="B221" s="61" t="s">
        <v>38</v>
      </c>
      <c r="C221" s="62"/>
      <c r="D221" s="62"/>
      <c r="E221" s="62"/>
      <c r="F221" s="63"/>
      <c r="G221" s="64"/>
      <c r="H221" s="65"/>
      <c r="I221" s="65"/>
      <c r="J221" s="65"/>
      <c r="K221" s="65"/>
      <c r="L221" s="64"/>
      <c r="M221" s="64"/>
    </row>
    <row r="222" spans="1:13" s="89" customFormat="1" ht="18" customHeight="1">
      <c r="A222" s="66" t="s">
        <v>144</v>
      </c>
      <c r="B222" s="67" t="s">
        <v>214</v>
      </c>
      <c r="C222" s="68" t="s">
        <v>219</v>
      </c>
      <c r="D222" s="69" t="s">
        <v>36</v>
      </c>
      <c r="E222" s="70">
        <v>111.3</v>
      </c>
      <c r="F222" s="172">
        <v>155.66999999999999</v>
      </c>
      <c r="G222" s="151">
        <f t="shared" si="81"/>
        <v>17329.400000000001</v>
      </c>
      <c r="H222" s="73">
        <f>(1.7*1)</f>
        <v>1.7</v>
      </c>
      <c r="I222" s="74">
        <f t="shared" si="86"/>
        <v>155.66999999999999</v>
      </c>
      <c r="J222" s="75">
        <f>+M222-G222</f>
        <v>264.69999999999709</v>
      </c>
      <c r="K222" s="76">
        <f>E222+H222</f>
        <v>113</v>
      </c>
      <c r="L222" s="77">
        <f t="shared" ref="L222" si="89">+I222</f>
        <v>155.66999999999999</v>
      </c>
      <c r="M222" s="78">
        <f t="shared" ref="M222" si="90">ROUND(ROUND(L222,1)*ROUND(K222,1),1)</f>
        <v>17594.099999999999</v>
      </c>
    </row>
    <row r="223" spans="1:13" s="89" customFormat="1" ht="18" customHeight="1">
      <c r="A223" s="60" t="s">
        <v>112</v>
      </c>
      <c r="B223" s="61" t="s">
        <v>224</v>
      </c>
      <c r="C223" s="62"/>
      <c r="D223" s="62"/>
      <c r="E223" s="62"/>
      <c r="F223" s="63"/>
      <c r="G223" s="64"/>
      <c r="H223" s="65"/>
      <c r="I223" s="65"/>
      <c r="J223" s="65"/>
      <c r="K223" s="65"/>
      <c r="L223" s="64"/>
      <c r="M223" s="64"/>
    </row>
    <row r="224" spans="1:13" s="89" customFormat="1" ht="23.1" customHeight="1">
      <c r="A224" s="66" t="s">
        <v>68</v>
      </c>
      <c r="B224" s="67" t="s">
        <v>277</v>
      </c>
      <c r="C224" s="68" t="s">
        <v>282</v>
      </c>
      <c r="D224" s="69" t="s">
        <v>51</v>
      </c>
      <c r="E224" s="70">
        <v>93</v>
      </c>
      <c r="F224" s="71">
        <v>220.96</v>
      </c>
      <c r="G224" s="151">
        <f t="shared" si="81"/>
        <v>20553</v>
      </c>
      <c r="H224" s="73">
        <v>1.7</v>
      </c>
      <c r="I224" s="74">
        <f t="shared" si="86"/>
        <v>220.96</v>
      </c>
      <c r="J224" s="75">
        <f t="shared" ref="J224:J229" si="91">+M224-G224</f>
        <v>375.70000000000073</v>
      </c>
      <c r="K224" s="76">
        <f t="shared" ref="K224:K229" si="92">E224+H224</f>
        <v>94.7</v>
      </c>
      <c r="L224" s="77">
        <f t="shared" ref="L224:L229" si="93">+I224</f>
        <v>220.96</v>
      </c>
      <c r="M224" s="78">
        <f t="shared" ref="M224:M229" si="94">ROUND(ROUND(L224,1)*ROUND(K224,1),1)</f>
        <v>20928.7</v>
      </c>
    </row>
    <row r="225" spans="1:17" s="89" customFormat="1" ht="23.1" customHeight="1">
      <c r="A225" s="66" t="s">
        <v>69</v>
      </c>
      <c r="B225" s="67" t="s">
        <v>278</v>
      </c>
      <c r="C225" s="68" t="s">
        <v>283</v>
      </c>
      <c r="D225" s="69" t="s">
        <v>51</v>
      </c>
      <c r="E225" s="70">
        <v>93</v>
      </c>
      <c r="F225" s="71">
        <v>1227.0999999999999</v>
      </c>
      <c r="G225" s="151">
        <f t="shared" si="81"/>
        <v>114120.3</v>
      </c>
      <c r="H225" s="73">
        <v>1.7</v>
      </c>
      <c r="I225" s="74">
        <f t="shared" si="86"/>
        <v>1227.0999999999999</v>
      </c>
      <c r="J225" s="75">
        <f t="shared" si="91"/>
        <v>2086.0999999999913</v>
      </c>
      <c r="K225" s="76">
        <f t="shared" si="92"/>
        <v>94.7</v>
      </c>
      <c r="L225" s="77">
        <f t="shared" si="93"/>
        <v>1227.0999999999999</v>
      </c>
      <c r="M225" s="78">
        <f t="shared" si="94"/>
        <v>116206.39999999999</v>
      </c>
    </row>
    <row r="226" spans="1:17" s="89" customFormat="1" ht="18" customHeight="1">
      <c r="A226" s="66" t="s">
        <v>213</v>
      </c>
      <c r="B226" s="67" t="s">
        <v>279</v>
      </c>
      <c r="C226" s="68" t="s">
        <v>284</v>
      </c>
      <c r="D226" s="69" t="s">
        <v>51</v>
      </c>
      <c r="E226" s="70">
        <v>102</v>
      </c>
      <c r="F226" s="71">
        <v>26.3</v>
      </c>
      <c r="G226" s="151">
        <f t="shared" si="81"/>
        <v>2682.6</v>
      </c>
      <c r="H226" s="73">
        <v>1.7</v>
      </c>
      <c r="I226" s="74">
        <f t="shared" si="86"/>
        <v>26.3</v>
      </c>
      <c r="J226" s="75">
        <f t="shared" si="91"/>
        <v>44.700000000000273</v>
      </c>
      <c r="K226" s="76">
        <f t="shared" si="92"/>
        <v>103.7</v>
      </c>
      <c r="L226" s="77">
        <f t="shared" si="93"/>
        <v>26.3</v>
      </c>
      <c r="M226" s="78">
        <f t="shared" si="94"/>
        <v>2727.3</v>
      </c>
    </row>
    <row r="227" spans="1:17" s="89" customFormat="1" ht="18" customHeight="1">
      <c r="A227" s="66" t="s">
        <v>215</v>
      </c>
      <c r="B227" s="67" t="s">
        <v>280</v>
      </c>
      <c r="C227" s="68" t="s">
        <v>285</v>
      </c>
      <c r="D227" s="69" t="s">
        <v>51</v>
      </c>
      <c r="E227" s="70">
        <v>102</v>
      </c>
      <c r="F227" s="71">
        <v>34.200000000000003</v>
      </c>
      <c r="G227" s="151">
        <f t="shared" si="81"/>
        <v>3488.4</v>
      </c>
      <c r="H227" s="73">
        <v>1.7</v>
      </c>
      <c r="I227" s="74">
        <f t="shared" si="86"/>
        <v>34.200000000000003</v>
      </c>
      <c r="J227" s="75">
        <f t="shared" si="91"/>
        <v>58.099999999999909</v>
      </c>
      <c r="K227" s="76">
        <f t="shared" si="92"/>
        <v>103.7</v>
      </c>
      <c r="L227" s="77">
        <f t="shared" si="93"/>
        <v>34.200000000000003</v>
      </c>
      <c r="M227" s="78">
        <f t="shared" si="94"/>
        <v>3546.5</v>
      </c>
    </row>
    <row r="228" spans="1:17" s="89" customFormat="1" ht="18" customHeight="1">
      <c r="A228" s="66" t="s">
        <v>216</v>
      </c>
      <c r="B228" s="67" t="s">
        <v>281</v>
      </c>
      <c r="C228" s="68" t="s">
        <v>286</v>
      </c>
      <c r="D228" s="69" t="s">
        <v>51</v>
      </c>
      <c r="E228" s="70">
        <v>93</v>
      </c>
      <c r="F228" s="71">
        <v>26.3</v>
      </c>
      <c r="G228" s="151">
        <f t="shared" si="81"/>
        <v>2445.9</v>
      </c>
      <c r="H228" s="73">
        <v>1.7</v>
      </c>
      <c r="I228" s="74">
        <f t="shared" si="86"/>
        <v>26.3</v>
      </c>
      <c r="J228" s="75">
        <f t="shared" si="91"/>
        <v>44.699999999999818</v>
      </c>
      <c r="K228" s="76">
        <f t="shared" si="92"/>
        <v>94.7</v>
      </c>
      <c r="L228" s="77">
        <f t="shared" si="93"/>
        <v>26.3</v>
      </c>
      <c r="M228" s="78">
        <f t="shared" si="94"/>
        <v>2490.6</v>
      </c>
    </row>
    <row r="229" spans="1:17" s="89" customFormat="1" ht="18" customHeight="1">
      <c r="A229" s="66" t="s">
        <v>226</v>
      </c>
      <c r="B229" s="67" t="s">
        <v>238</v>
      </c>
      <c r="C229" s="68" t="s">
        <v>241</v>
      </c>
      <c r="D229" s="69" t="s">
        <v>51</v>
      </c>
      <c r="E229" s="70">
        <v>102</v>
      </c>
      <c r="F229" s="172">
        <v>9.2100000000000009</v>
      </c>
      <c r="G229" s="151">
        <f t="shared" si="81"/>
        <v>938.4</v>
      </c>
      <c r="H229" s="73">
        <v>1.7</v>
      </c>
      <c r="I229" s="74">
        <f t="shared" si="86"/>
        <v>9.2100000000000009</v>
      </c>
      <c r="J229" s="75">
        <f t="shared" si="91"/>
        <v>15.600000000000023</v>
      </c>
      <c r="K229" s="76">
        <f t="shared" si="92"/>
        <v>103.7</v>
      </c>
      <c r="L229" s="77">
        <f t="shared" si="93"/>
        <v>9.2100000000000009</v>
      </c>
      <c r="M229" s="78">
        <f t="shared" si="94"/>
        <v>954</v>
      </c>
    </row>
    <row r="230" spans="1:17" s="89" customFormat="1" ht="18" customHeight="1">
      <c r="A230" s="60" t="s">
        <v>0</v>
      </c>
      <c r="B230" s="61" t="s">
        <v>47</v>
      </c>
      <c r="C230" s="62"/>
      <c r="D230" s="62"/>
      <c r="E230" s="62"/>
      <c r="F230" s="63"/>
      <c r="G230" s="64"/>
      <c r="H230" s="65"/>
      <c r="I230" s="65"/>
      <c r="J230" s="65"/>
      <c r="K230" s="65"/>
      <c r="L230" s="64"/>
      <c r="M230" s="64"/>
    </row>
    <row r="231" spans="1:17" s="89" customFormat="1" ht="18" customHeight="1">
      <c r="A231" s="66" t="s">
        <v>72</v>
      </c>
      <c r="B231" s="67" t="s">
        <v>287</v>
      </c>
      <c r="C231" s="68" t="s">
        <v>288</v>
      </c>
      <c r="D231" s="69" t="s">
        <v>51</v>
      </c>
      <c r="E231" s="70">
        <v>102</v>
      </c>
      <c r="F231" s="71">
        <v>60.5</v>
      </c>
      <c r="G231" s="151">
        <f t="shared" si="81"/>
        <v>6171</v>
      </c>
      <c r="H231" s="73">
        <v>1.7</v>
      </c>
      <c r="I231" s="74">
        <f t="shared" si="86"/>
        <v>60.5</v>
      </c>
      <c r="J231" s="75">
        <f t="shared" ref="J231:J234" si="95">+M231-G231</f>
        <v>102.89999999999964</v>
      </c>
      <c r="K231" s="76">
        <f t="shared" ref="K231:K234" si="96">E231+H231</f>
        <v>103.7</v>
      </c>
      <c r="L231" s="77">
        <f t="shared" ref="L231:L234" si="97">+I231</f>
        <v>60.5</v>
      </c>
      <c r="M231" s="78">
        <f t="shared" ref="M231:M234" si="98">ROUND(ROUND(L231,1)*ROUND(K231,1),1)</f>
        <v>6273.9</v>
      </c>
    </row>
    <row r="232" spans="1:17" s="89" customFormat="1" ht="18" customHeight="1">
      <c r="A232" s="66" t="s">
        <v>73</v>
      </c>
      <c r="B232" s="67" t="s">
        <v>56</v>
      </c>
      <c r="C232" s="68" t="s">
        <v>57</v>
      </c>
      <c r="D232" s="69" t="s">
        <v>58</v>
      </c>
      <c r="E232" s="70">
        <v>60.7</v>
      </c>
      <c r="F232" s="71">
        <v>51.29</v>
      </c>
      <c r="G232" s="151">
        <f t="shared" si="81"/>
        <v>3113.9</v>
      </c>
      <c r="H232" s="73">
        <f>(1.7*1*0.1)*1.8</f>
        <v>0.30600000000000005</v>
      </c>
      <c r="I232" s="74">
        <f t="shared" si="86"/>
        <v>51.29</v>
      </c>
      <c r="J232" s="75">
        <f t="shared" si="95"/>
        <v>15.400000000000091</v>
      </c>
      <c r="K232" s="76">
        <f t="shared" si="96"/>
        <v>61.006</v>
      </c>
      <c r="L232" s="77">
        <f t="shared" si="97"/>
        <v>51.29</v>
      </c>
      <c r="M232" s="78">
        <f t="shared" si="98"/>
        <v>3129.3</v>
      </c>
    </row>
    <row r="233" spans="1:17" s="89" customFormat="1" ht="23.1" customHeight="1">
      <c r="A233" s="66" t="s">
        <v>74</v>
      </c>
      <c r="B233" s="67" t="s">
        <v>245</v>
      </c>
      <c r="C233" s="68" t="s">
        <v>247</v>
      </c>
      <c r="D233" s="69" t="s">
        <v>58</v>
      </c>
      <c r="E233" s="70">
        <v>56.9</v>
      </c>
      <c r="F233" s="71">
        <v>154.66999999999999</v>
      </c>
      <c r="G233" s="151">
        <f t="shared" si="81"/>
        <v>8802.4</v>
      </c>
      <c r="H233" s="73">
        <f>(1.7*1*0.1)*1.8</f>
        <v>0.30600000000000005</v>
      </c>
      <c r="I233" s="74">
        <f t="shared" si="86"/>
        <v>154.66999999999999</v>
      </c>
      <c r="J233" s="75">
        <f t="shared" si="95"/>
        <v>46.399999999999636</v>
      </c>
      <c r="K233" s="76">
        <f t="shared" si="96"/>
        <v>57.205999999999996</v>
      </c>
      <c r="L233" s="77">
        <f t="shared" si="97"/>
        <v>154.66999999999999</v>
      </c>
      <c r="M233" s="78">
        <f t="shared" si="98"/>
        <v>8848.7999999999993</v>
      </c>
    </row>
    <row r="234" spans="1:17" s="89" customFormat="1" ht="18" customHeight="1">
      <c r="A234" s="66" t="s">
        <v>75</v>
      </c>
      <c r="B234" s="67" t="s">
        <v>66</v>
      </c>
      <c r="C234" s="68" t="s">
        <v>64</v>
      </c>
      <c r="D234" s="69" t="s">
        <v>58</v>
      </c>
      <c r="E234" s="70">
        <v>60.7</v>
      </c>
      <c r="F234" s="71">
        <v>80.23</v>
      </c>
      <c r="G234" s="151">
        <f t="shared" si="81"/>
        <v>4868.1000000000004</v>
      </c>
      <c r="H234" s="73">
        <f>(1.7*1*0.1)*1.8</f>
        <v>0.30600000000000005</v>
      </c>
      <c r="I234" s="74">
        <f t="shared" si="86"/>
        <v>80.23</v>
      </c>
      <c r="J234" s="75">
        <f t="shared" si="95"/>
        <v>24.099999999999454</v>
      </c>
      <c r="K234" s="76">
        <f t="shared" si="96"/>
        <v>61.006</v>
      </c>
      <c r="L234" s="77">
        <f t="shared" si="97"/>
        <v>80.23</v>
      </c>
      <c r="M234" s="78">
        <f t="shared" si="98"/>
        <v>4892.2</v>
      </c>
    </row>
    <row r="235" spans="1:17" s="89" customFormat="1" ht="18" customHeight="1">
      <c r="A235" s="66"/>
      <c r="B235" s="67"/>
      <c r="C235" s="68"/>
      <c r="D235" s="69"/>
      <c r="E235" s="70"/>
      <c r="F235" s="71"/>
      <c r="G235" s="82">
        <f>SUM(G198:G234)</f>
        <v>463048.90000000014</v>
      </c>
      <c r="H235" s="83"/>
      <c r="I235" s="84"/>
      <c r="J235" s="85">
        <f>SUM(J198:J234)</f>
        <v>7413.2999999999893</v>
      </c>
      <c r="K235" s="86"/>
      <c r="L235" s="87"/>
      <c r="M235" s="88">
        <f>SUM(M198:M234)</f>
        <v>470462.19999999995</v>
      </c>
    </row>
    <row r="236" spans="1:17" s="89" customFormat="1" ht="18" customHeight="1">
      <c r="A236" s="144"/>
      <c r="B236" s="144"/>
      <c r="C236" s="80"/>
      <c r="D236" s="80"/>
      <c r="E236" s="152"/>
      <c r="F236" s="40"/>
      <c r="G236" s="82"/>
      <c r="H236" s="83"/>
      <c r="I236" s="84"/>
      <c r="J236" s="85"/>
      <c r="K236" s="86"/>
      <c r="L236" s="87"/>
      <c r="M236" s="88"/>
    </row>
    <row r="237" spans="1:17" s="89" customFormat="1" ht="18" customHeight="1">
      <c r="A237" s="196" t="s">
        <v>78</v>
      </c>
      <c r="B237" s="197"/>
      <c r="C237" s="197"/>
      <c r="D237" s="197"/>
      <c r="E237" s="152"/>
      <c r="F237" s="40"/>
      <c r="G237" s="82"/>
      <c r="H237" s="83"/>
      <c r="I237" s="84"/>
      <c r="J237" s="85"/>
      <c r="K237" s="86"/>
      <c r="L237" s="87"/>
      <c r="M237" s="88"/>
    </row>
    <row r="238" spans="1:17" s="89" customFormat="1" ht="18" customHeight="1">
      <c r="A238" s="144"/>
      <c r="B238" s="144"/>
      <c r="C238" s="80"/>
      <c r="D238" s="80"/>
      <c r="E238" s="152"/>
      <c r="F238" s="40"/>
      <c r="G238" s="82"/>
      <c r="H238" s="83"/>
      <c r="I238" s="84"/>
      <c r="J238" s="85"/>
      <c r="K238" s="86"/>
      <c r="L238" s="87"/>
      <c r="M238" s="88"/>
    </row>
    <row r="239" spans="1:17" s="89" customFormat="1" ht="18" customHeight="1">
      <c r="A239" s="46" t="s">
        <v>294</v>
      </c>
      <c r="B239" s="47" t="s">
        <v>331</v>
      </c>
      <c r="C239" s="40"/>
      <c r="D239" s="40"/>
      <c r="E239" s="198" t="s">
        <v>1</v>
      </c>
      <c r="F239" s="198"/>
      <c r="G239" s="198"/>
      <c r="H239" s="199" t="s">
        <v>10</v>
      </c>
      <c r="I239" s="199"/>
      <c r="J239" s="199"/>
      <c r="K239" s="200" t="s">
        <v>11</v>
      </c>
      <c r="L239" s="200"/>
      <c r="M239" s="200"/>
      <c r="N239" s="166" t="s">
        <v>317</v>
      </c>
      <c r="Q239" s="170" t="s">
        <v>329</v>
      </c>
    </row>
    <row r="240" spans="1:17" s="89" customFormat="1" ht="26.1" customHeight="1">
      <c r="A240" s="48" t="s">
        <v>12</v>
      </c>
      <c r="B240" s="145" t="s">
        <v>13</v>
      </c>
      <c r="C240" s="48" t="s">
        <v>13</v>
      </c>
      <c r="D240" s="145" t="s">
        <v>14</v>
      </c>
      <c r="E240" s="146" t="s">
        <v>15</v>
      </c>
      <c r="F240" s="147" t="s">
        <v>16</v>
      </c>
      <c r="G240" s="52" t="s">
        <v>17</v>
      </c>
      <c r="H240" s="53" t="s">
        <v>15</v>
      </c>
      <c r="I240" s="54" t="s">
        <v>18</v>
      </c>
      <c r="J240" s="55" t="s">
        <v>17</v>
      </c>
      <c r="K240" s="56" t="s">
        <v>15</v>
      </c>
      <c r="L240" s="57" t="s">
        <v>18</v>
      </c>
      <c r="M240" s="58" t="s">
        <v>19</v>
      </c>
    </row>
    <row r="241" spans="1:13" s="89" customFormat="1" ht="18" customHeight="1">
      <c r="A241" s="60" t="s">
        <v>32</v>
      </c>
      <c r="B241" s="61" t="s">
        <v>33</v>
      </c>
      <c r="C241" s="62"/>
      <c r="D241" s="62"/>
      <c r="E241" s="62"/>
      <c r="F241" s="63"/>
      <c r="G241" s="64"/>
      <c r="H241" s="65"/>
      <c r="I241" s="65"/>
      <c r="J241" s="65"/>
      <c r="K241" s="64"/>
      <c r="L241" s="64"/>
      <c r="M241" s="64"/>
    </row>
    <row r="242" spans="1:13" s="89" customFormat="1" ht="23.1" customHeight="1">
      <c r="A242" s="66" t="s">
        <v>110</v>
      </c>
      <c r="B242" s="67" t="s">
        <v>295</v>
      </c>
      <c r="C242" s="68" t="s">
        <v>297</v>
      </c>
      <c r="D242" s="69" t="s">
        <v>36</v>
      </c>
      <c r="E242" s="70">
        <v>79.400000000000006</v>
      </c>
      <c r="F242" s="71">
        <v>40.770000000000003</v>
      </c>
      <c r="G242" s="151">
        <f t="shared" ref="G242:G283" si="99">ROUND(ROUND(F242,1)*ROUND(E242,1),1)</f>
        <v>3239.5</v>
      </c>
      <c r="H242" s="73">
        <f>-(6.3*0.9)</f>
        <v>-5.67</v>
      </c>
      <c r="I242" s="74">
        <f>F242</f>
        <v>40.770000000000003</v>
      </c>
      <c r="J242" s="75">
        <f t="shared" ref="J242:J264" si="100">+M242-G242</f>
        <v>-232.5</v>
      </c>
      <c r="K242" s="76">
        <f t="shared" ref="K242:K264" si="101">E242+H242</f>
        <v>73.73</v>
      </c>
      <c r="L242" s="77">
        <f t="shared" ref="L242:L264" si="102">+I242</f>
        <v>40.770000000000003</v>
      </c>
      <c r="M242" s="78">
        <f t="shared" ref="M242:M264" si="103">ROUND(ROUND(L242,1)*ROUND(K242,1),1)</f>
        <v>3007</v>
      </c>
    </row>
    <row r="243" spans="1:13" s="89" customFormat="1" ht="23.1" customHeight="1">
      <c r="A243" s="66" t="s">
        <v>111</v>
      </c>
      <c r="B243" s="67" t="s">
        <v>296</v>
      </c>
      <c r="C243" s="68" t="s">
        <v>298</v>
      </c>
      <c r="D243" s="69" t="s">
        <v>36</v>
      </c>
      <c r="E243" s="70">
        <v>79.400000000000006</v>
      </c>
      <c r="F243" s="71">
        <v>77.599999999999994</v>
      </c>
      <c r="G243" s="151">
        <f t="shared" si="99"/>
        <v>6161.4</v>
      </c>
      <c r="H243" s="73">
        <f>-(6.3*0.9)</f>
        <v>-5.67</v>
      </c>
      <c r="I243" s="74">
        <f t="shared" ref="I243:I283" si="104">F243</f>
        <v>77.599999999999994</v>
      </c>
      <c r="J243" s="75">
        <f t="shared" si="100"/>
        <v>-442.29999999999927</v>
      </c>
      <c r="K243" s="76">
        <f t="shared" si="101"/>
        <v>73.73</v>
      </c>
      <c r="L243" s="77">
        <f t="shared" si="102"/>
        <v>77.599999999999994</v>
      </c>
      <c r="M243" s="78">
        <f t="shared" si="103"/>
        <v>5719.1</v>
      </c>
    </row>
    <row r="244" spans="1:13" s="89" customFormat="1" ht="18" customHeight="1">
      <c r="A244" s="66" t="s">
        <v>118</v>
      </c>
      <c r="B244" s="67" t="s">
        <v>130</v>
      </c>
      <c r="C244" s="68" t="s">
        <v>179</v>
      </c>
      <c r="D244" s="69" t="s">
        <v>180</v>
      </c>
      <c r="E244" s="70">
        <v>314.7</v>
      </c>
      <c r="F244" s="71">
        <v>257.77999999999997</v>
      </c>
      <c r="G244" s="151">
        <f t="shared" si="99"/>
        <v>81129.7</v>
      </c>
      <c r="H244" s="73">
        <f>-(2*0.9*6.3)*0.6</f>
        <v>-6.8039999999999994</v>
      </c>
      <c r="I244" s="74">
        <f t="shared" si="104"/>
        <v>257.77999999999997</v>
      </c>
      <c r="J244" s="75">
        <f t="shared" si="100"/>
        <v>-1753.0999999999913</v>
      </c>
      <c r="K244" s="76">
        <f t="shared" si="101"/>
        <v>307.89600000000002</v>
      </c>
      <c r="L244" s="77">
        <f t="shared" si="102"/>
        <v>257.77999999999997</v>
      </c>
      <c r="M244" s="78">
        <f t="shared" si="103"/>
        <v>79376.600000000006</v>
      </c>
    </row>
    <row r="245" spans="1:13" s="89" customFormat="1" ht="18" customHeight="1">
      <c r="A245" s="66" t="s">
        <v>120</v>
      </c>
      <c r="B245" s="67" t="s">
        <v>251</v>
      </c>
      <c r="C245" s="68" t="s">
        <v>255</v>
      </c>
      <c r="D245" s="69" t="s">
        <v>180</v>
      </c>
      <c r="E245" s="70">
        <v>126.1</v>
      </c>
      <c r="F245" s="71">
        <v>257.77999999999997</v>
      </c>
      <c r="G245" s="151">
        <f t="shared" si="99"/>
        <v>32508.6</v>
      </c>
      <c r="H245" s="73">
        <f>-(2*0.9*6.3)*0.24</f>
        <v>-2.7216</v>
      </c>
      <c r="I245" s="74">
        <f t="shared" si="104"/>
        <v>257.77999999999997</v>
      </c>
      <c r="J245" s="75">
        <f t="shared" si="100"/>
        <v>-696.09999999999854</v>
      </c>
      <c r="K245" s="76">
        <f t="shared" si="101"/>
        <v>123.3784</v>
      </c>
      <c r="L245" s="77">
        <f t="shared" si="102"/>
        <v>257.77999999999997</v>
      </c>
      <c r="M245" s="78">
        <f t="shared" si="103"/>
        <v>31812.5</v>
      </c>
    </row>
    <row r="246" spans="1:13" s="89" customFormat="1" ht="18" customHeight="1">
      <c r="A246" s="66" t="s">
        <v>122</v>
      </c>
      <c r="B246" s="67" t="s">
        <v>137</v>
      </c>
      <c r="C246" s="68" t="s">
        <v>182</v>
      </c>
      <c r="D246" s="69" t="s">
        <v>180</v>
      </c>
      <c r="E246" s="70">
        <v>126.1</v>
      </c>
      <c r="F246" s="71">
        <v>13.15</v>
      </c>
      <c r="G246" s="151">
        <f t="shared" si="99"/>
        <v>1664.5</v>
      </c>
      <c r="H246" s="73">
        <f>-(2*0.9*6.3)*0.24</f>
        <v>-2.7216</v>
      </c>
      <c r="I246" s="74">
        <f t="shared" si="104"/>
        <v>13.15</v>
      </c>
      <c r="J246" s="75">
        <f t="shared" si="100"/>
        <v>-35.599999999999909</v>
      </c>
      <c r="K246" s="76">
        <f t="shared" si="101"/>
        <v>123.3784</v>
      </c>
      <c r="L246" s="77">
        <f t="shared" si="102"/>
        <v>13.15</v>
      </c>
      <c r="M246" s="78">
        <f t="shared" si="103"/>
        <v>1628.9</v>
      </c>
    </row>
    <row r="247" spans="1:13" s="89" customFormat="1" ht="18" customHeight="1">
      <c r="A247" s="66" t="s">
        <v>124</v>
      </c>
      <c r="B247" s="67" t="s">
        <v>139</v>
      </c>
      <c r="C247" s="68" t="s">
        <v>183</v>
      </c>
      <c r="D247" s="69" t="s">
        <v>180</v>
      </c>
      <c r="E247" s="70">
        <v>135.4</v>
      </c>
      <c r="F247" s="71">
        <v>315.64999999999998</v>
      </c>
      <c r="G247" s="151">
        <f t="shared" si="99"/>
        <v>42745.8</v>
      </c>
      <c r="H247" s="73">
        <f>-(2*0.9*6.3)*0.26</f>
        <v>-2.9483999999999999</v>
      </c>
      <c r="I247" s="74">
        <f t="shared" si="104"/>
        <v>315.64999999999998</v>
      </c>
      <c r="J247" s="75">
        <f t="shared" si="100"/>
        <v>-915.5</v>
      </c>
      <c r="K247" s="76">
        <f t="shared" si="101"/>
        <v>132.45160000000001</v>
      </c>
      <c r="L247" s="77">
        <f t="shared" si="102"/>
        <v>315.64999999999998</v>
      </c>
      <c r="M247" s="78">
        <f t="shared" si="103"/>
        <v>41830.300000000003</v>
      </c>
    </row>
    <row r="248" spans="1:13" s="89" customFormat="1" ht="18" customHeight="1">
      <c r="A248" s="66" t="s">
        <v>34</v>
      </c>
      <c r="B248" s="67" t="s">
        <v>141</v>
      </c>
      <c r="C248" s="68" t="s">
        <v>184</v>
      </c>
      <c r="D248" s="69" t="s">
        <v>180</v>
      </c>
      <c r="E248" s="70">
        <v>135.4</v>
      </c>
      <c r="F248" s="71">
        <v>15.78</v>
      </c>
      <c r="G248" s="151">
        <f t="shared" si="99"/>
        <v>2139.3000000000002</v>
      </c>
      <c r="H248" s="73">
        <f>-(2*0.9*6.3)*0.26</f>
        <v>-2.9483999999999999</v>
      </c>
      <c r="I248" s="74">
        <f t="shared" si="104"/>
        <v>15.78</v>
      </c>
      <c r="J248" s="75">
        <f t="shared" si="100"/>
        <v>-45.800000000000182</v>
      </c>
      <c r="K248" s="76">
        <f t="shared" si="101"/>
        <v>132.45160000000001</v>
      </c>
      <c r="L248" s="77">
        <f t="shared" si="102"/>
        <v>15.78</v>
      </c>
      <c r="M248" s="78">
        <f t="shared" si="103"/>
        <v>2093.5</v>
      </c>
    </row>
    <row r="249" spans="1:13" s="89" customFormat="1" ht="23.1" customHeight="1">
      <c r="A249" s="66" t="s">
        <v>126</v>
      </c>
      <c r="B249" s="67" t="s">
        <v>143</v>
      </c>
      <c r="C249" s="68" t="s">
        <v>185</v>
      </c>
      <c r="D249" s="69" t="s">
        <v>180</v>
      </c>
      <c r="E249" s="70">
        <v>10.9</v>
      </c>
      <c r="F249" s="71">
        <v>1569.06</v>
      </c>
      <c r="G249" s="151">
        <f t="shared" si="99"/>
        <v>17103.2</v>
      </c>
      <c r="H249" s="73">
        <f>-(2*0.9*6.3)*0.02</f>
        <v>-0.2268</v>
      </c>
      <c r="I249" s="74">
        <f t="shared" si="104"/>
        <v>1569.06</v>
      </c>
      <c r="J249" s="75">
        <f t="shared" si="100"/>
        <v>-313.79999999999927</v>
      </c>
      <c r="K249" s="76">
        <f t="shared" si="101"/>
        <v>10.6732</v>
      </c>
      <c r="L249" s="77">
        <f t="shared" si="102"/>
        <v>1569.06</v>
      </c>
      <c r="M249" s="78">
        <f t="shared" si="103"/>
        <v>16789.400000000001</v>
      </c>
    </row>
    <row r="250" spans="1:13" s="89" customFormat="1" ht="23.1" customHeight="1">
      <c r="A250" s="66" t="s">
        <v>127</v>
      </c>
      <c r="B250" s="67" t="s">
        <v>145</v>
      </c>
      <c r="C250" s="68" t="s">
        <v>186</v>
      </c>
      <c r="D250" s="69" t="s">
        <v>180</v>
      </c>
      <c r="E250" s="70">
        <v>255</v>
      </c>
      <c r="F250" s="71">
        <v>2149.0700000000002</v>
      </c>
      <c r="G250" s="151">
        <f t="shared" si="99"/>
        <v>548020.5</v>
      </c>
      <c r="H250" s="73">
        <f>-(2*0.9*6.3)*0.48</f>
        <v>-5.4432</v>
      </c>
      <c r="I250" s="74">
        <f t="shared" si="104"/>
        <v>2149.0700000000002</v>
      </c>
      <c r="J250" s="75">
        <f t="shared" si="100"/>
        <v>-11605.099999999977</v>
      </c>
      <c r="K250" s="76">
        <f t="shared" si="101"/>
        <v>249.55680000000001</v>
      </c>
      <c r="L250" s="77">
        <f t="shared" si="102"/>
        <v>2149.0700000000002</v>
      </c>
      <c r="M250" s="78">
        <f t="shared" si="103"/>
        <v>536415.4</v>
      </c>
    </row>
    <row r="251" spans="1:13" s="89" customFormat="1" ht="18" customHeight="1">
      <c r="A251" s="66" t="s">
        <v>129</v>
      </c>
      <c r="B251" s="67" t="s">
        <v>148</v>
      </c>
      <c r="C251" s="68" t="s">
        <v>187</v>
      </c>
      <c r="D251" s="69" t="s">
        <v>36</v>
      </c>
      <c r="E251" s="70">
        <v>1120.0999999999999</v>
      </c>
      <c r="F251" s="71">
        <v>99.96</v>
      </c>
      <c r="G251" s="151">
        <f t="shared" si="99"/>
        <v>112010</v>
      </c>
      <c r="H251" s="73">
        <f>-(2*6.3*2.3)</f>
        <v>-28.979999999999997</v>
      </c>
      <c r="I251" s="74">
        <f t="shared" si="104"/>
        <v>99.96</v>
      </c>
      <c r="J251" s="75">
        <f t="shared" si="100"/>
        <v>-2900</v>
      </c>
      <c r="K251" s="76">
        <f t="shared" si="101"/>
        <v>1091.1199999999999</v>
      </c>
      <c r="L251" s="77">
        <f t="shared" si="102"/>
        <v>99.96</v>
      </c>
      <c r="M251" s="78">
        <f t="shared" si="103"/>
        <v>109110</v>
      </c>
    </row>
    <row r="252" spans="1:13" s="89" customFormat="1" ht="18" customHeight="1">
      <c r="A252" s="66" t="s">
        <v>131</v>
      </c>
      <c r="B252" s="67" t="s">
        <v>150</v>
      </c>
      <c r="C252" s="68" t="s">
        <v>188</v>
      </c>
      <c r="D252" s="69" t="s">
        <v>36</v>
      </c>
      <c r="E252" s="70">
        <v>1120.0999999999999</v>
      </c>
      <c r="F252" s="71">
        <v>149.94</v>
      </c>
      <c r="G252" s="151">
        <f t="shared" si="99"/>
        <v>167903</v>
      </c>
      <c r="H252" s="73">
        <f>-(2*6.3*2.3)</f>
        <v>-28.979999999999997</v>
      </c>
      <c r="I252" s="74">
        <f t="shared" si="104"/>
        <v>149.94</v>
      </c>
      <c r="J252" s="75">
        <f t="shared" si="100"/>
        <v>-4347.1000000000058</v>
      </c>
      <c r="K252" s="76">
        <f t="shared" si="101"/>
        <v>1091.1199999999999</v>
      </c>
      <c r="L252" s="77">
        <f t="shared" si="102"/>
        <v>149.94</v>
      </c>
      <c r="M252" s="78">
        <f t="shared" si="103"/>
        <v>163555.9</v>
      </c>
    </row>
    <row r="253" spans="1:13" s="89" customFormat="1" ht="18" customHeight="1">
      <c r="A253" s="66" t="s">
        <v>132</v>
      </c>
      <c r="B253" s="67" t="s">
        <v>152</v>
      </c>
      <c r="C253" s="68" t="s">
        <v>189</v>
      </c>
      <c r="D253" s="69" t="s">
        <v>180</v>
      </c>
      <c r="E253" s="70">
        <v>261.5</v>
      </c>
      <c r="F253" s="71">
        <v>13.15</v>
      </c>
      <c r="G253" s="151">
        <f t="shared" si="99"/>
        <v>3451.8</v>
      </c>
      <c r="H253" s="73">
        <f>H245+H247</f>
        <v>-5.67</v>
      </c>
      <c r="I253" s="74">
        <f t="shared" si="104"/>
        <v>13.15</v>
      </c>
      <c r="J253" s="75">
        <f t="shared" si="100"/>
        <v>-75.200000000000273</v>
      </c>
      <c r="K253" s="76">
        <f t="shared" si="101"/>
        <v>255.83</v>
      </c>
      <c r="L253" s="77">
        <f t="shared" si="102"/>
        <v>13.15</v>
      </c>
      <c r="M253" s="78">
        <f t="shared" si="103"/>
        <v>3376.6</v>
      </c>
    </row>
    <row r="254" spans="1:13" s="89" customFormat="1" ht="18" customHeight="1">
      <c r="A254" s="66" t="s">
        <v>133</v>
      </c>
      <c r="B254" s="67" t="s">
        <v>154</v>
      </c>
      <c r="C254" s="68" t="s">
        <v>190</v>
      </c>
      <c r="D254" s="69" t="s">
        <v>180</v>
      </c>
      <c r="E254" s="70">
        <v>272.89999999999998</v>
      </c>
      <c r="F254" s="71">
        <v>19.73</v>
      </c>
      <c r="G254" s="151">
        <f t="shared" si="99"/>
        <v>5376.1</v>
      </c>
      <c r="H254" s="73">
        <f>H249+H250</f>
        <v>-5.67</v>
      </c>
      <c r="I254" s="74">
        <f t="shared" si="104"/>
        <v>19.73</v>
      </c>
      <c r="J254" s="75">
        <f t="shared" si="100"/>
        <v>-112.30000000000018</v>
      </c>
      <c r="K254" s="76">
        <f t="shared" si="101"/>
        <v>267.22999999999996</v>
      </c>
      <c r="L254" s="77">
        <f t="shared" si="102"/>
        <v>19.73</v>
      </c>
      <c r="M254" s="78">
        <f t="shared" si="103"/>
        <v>5263.8</v>
      </c>
    </row>
    <row r="255" spans="1:13" s="89" customFormat="1" ht="18" customHeight="1">
      <c r="A255" s="66" t="s">
        <v>134</v>
      </c>
      <c r="B255" s="67" t="s">
        <v>156</v>
      </c>
      <c r="C255" s="68" t="s">
        <v>191</v>
      </c>
      <c r="D255" s="69" t="s">
        <v>180</v>
      </c>
      <c r="E255" s="70">
        <v>261.5</v>
      </c>
      <c r="F255" s="71">
        <v>44.72</v>
      </c>
      <c r="G255" s="151">
        <f t="shared" si="99"/>
        <v>11689.1</v>
      </c>
      <c r="H255" s="73">
        <f>H253</f>
        <v>-5.67</v>
      </c>
      <c r="I255" s="74">
        <f t="shared" si="104"/>
        <v>44.72</v>
      </c>
      <c r="J255" s="75">
        <f t="shared" si="100"/>
        <v>-254.80000000000109</v>
      </c>
      <c r="K255" s="76">
        <f t="shared" si="101"/>
        <v>255.83</v>
      </c>
      <c r="L255" s="77">
        <f t="shared" si="102"/>
        <v>44.72</v>
      </c>
      <c r="M255" s="78">
        <f t="shared" si="103"/>
        <v>11434.3</v>
      </c>
    </row>
    <row r="256" spans="1:13" s="89" customFormat="1" ht="18" customHeight="1">
      <c r="A256" s="66" t="s">
        <v>138</v>
      </c>
      <c r="B256" s="67" t="s">
        <v>157</v>
      </c>
      <c r="C256" s="68" t="s">
        <v>192</v>
      </c>
      <c r="D256" s="69" t="s">
        <v>180</v>
      </c>
      <c r="E256" s="70">
        <v>148.5</v>
      </c>
      <c r="F256" s="71">
        <v>51.29</v>
      </c>
      <c r="G256" s="151">
        <f t="shared" si="99"/>
        <v>7618.1</v>
      </c>
      <c r="H256" s="73">
        <f>H254</f>
        <v>-5.67</v>
      </c>
      <c r="I256" s="74">
        <f t="shared" si="104"/>
        <v>51.29</v>
      </c>
      <c r="J256" s="75">
        <f t="shared" si="100"/>
        <v>-292.5</v>
      </c>
      <c r="K256" s="76">
        <f t="shared" si="101"/>
        <v>142.83000000000001</v>
      </c>
      <c r="L256" s="77">
        <f t="shared" si="102"/>
        <v>51.29</v>
      </c>
      <c r="M256" s="78">
        <f t="shared" si="103"/>
        <v>7325.6</v>
      </c>
    </row>
    <row r="257" spans="1:13" s="89" customFormat="1" ht="18" customHeight="1">
      <c r="A257" s="66" t="s">
        <v>140</v>
      </c>
      <c r="B257" s="67" t="s">
        <v>159</v>
      </c>
      <c r="C257" s="68" t="s">
        <v>193</v>
      </c>
      <c r="D257" s="69" t="s">
        <v>180</v>
      </c>
      <c r="E257" s="70">
        <v>591.79999999999995</v>
      </c>
      <c r="F257" s="71">
        <v>11.84</v>
      </c>
      <c r="G257" s="151">
        <f t="shared" si="99"/>
        <v>6983.2</v>
      </c>
      <c r="H257" s="73">
        <f>H256+H255</f>
        <v>-11.34</v>
      </c>
      <c r="I257" s="74">
        <f t="shared" si="104"/>
        <v>11.84</v>
      </c>
      <c r="J257" s="75">
        <f t="shared" si="100"/>
        <v>-133.30000000000018</v>
      </c>
      <c r="K257" s="76">
        <f t="shared" si="101"/>
        <v>580.45999999999992</v>
      </c>
      <c r="L257" s="77">
        <f t="shared" si="102"/>
        <v>11.84</v>
      </c>
      <c r="M257" s="78">
        <f t="shared" si="103"/>
        <v>6849.9</v>
      </c>
    </row>
    <row r="258" spans="1:13" s="89" customFormat="1" ht="18" customHeight="1">
      <c r="A258" s="66" t="s">
        <v>142</v>
      </c>
      <c r="B258" s="67" t="s">
        <v>159</v>
      </c>
      <c r="C258" s="68" t="s">
        <v>193</v>
      </c>
      <c r="D258" s="69" t="s">
        <v>180</v>
      </c>
      <c r="E258" s="70">
        <v>205.9</v>
      </c>
      <c r="F258" s="71">
        <v>11.84</v>
      </c>
      <c r="G258" s="151">
        <f t="shared" si="99"/>
        <v>2429.6</v>
      </c>
      <c r="H258" s="73">
        <f>H261+H269</f>
        <v>-2.2680000000000002</v>
      </c>
      <c r="I258" s="74">
        <f t="shared" si="104"/>
        <v>11.84</v>
      </c>
      <c r="J258" s="75">
        <f t="shared" si="100"/>
        <v>-27.099999999999909</v>
      </c>
      <c r="K258" s="76">
        <f t="shared" si="101"/>
        <v>203.63200000000001</v>
      </c>
      <c r="L258" s="77">
        <f t="shared" si="102"/>
        <v>11.84</v>
      </c>
      <c r="M258" s="78">
        <f t="shared" si="103"/>
        <v>2402.5</v>
      </c>
    </row>
    <row r="259" spans="1:13" s="89" customFormat="1" ht="18" customHeight="1">
      <c r="A259" s="66" t="s">
        <v>144</v>
      </c>
      <c r="B259" s="67" t="s">
        <v>162</v>
      </c>
      <c r="C259" s="68" t="s">
        <v>194</v>
      </c>
      <c r="D259" s="69" t="s">
        <v>58</v>
      </c>
      <c r="E259" s="70">
        <v>386.1</v>
      </c>
      <c r="F259" s="71">
        <v>116</v>
      </c>
      <c r="G259" s="151">
        <f t="shared" si="99"/>
        <v>44787.6</v>
      </c>
      <c r="H259" s="73">
        <f>H258*2</f>
        <v>-4.5360000000000005</v>
      </c>
      <c r="I259" s="74">
        <f t="shared" si="104"/>
        <v>116</v>
      </c>
      <c r="J259" s="75">
        <f t="shared" si="100"/>
        <v>-522</v>
      </c>
      <c r="K259" s="76">
        <f t="shared" si="101"/>
        <v>381.56400000000002</v>
      </c>
      <c r="L259" s="77">
        <f t="shared" si="102"/>
        <v>116</v>
      </c>
      <c r="M259" s="78">
        <f t="shared" si="103"/>
        <v>44265.599999999999</v>
      </c>
    </row>
    <row r="260" spans="1:13" s="89" customFormat="1" ht="23.1" customHeight="1">
      <c r="A260" s="66" t="s">
        <v>146</v>
      </c>
      <c r="B260" s="67" t="s">
        <v>164</v>
      </c>
      <c r="C260" s="68" t="s">
        <v>195</v>
      </c>
      <c r="D260" s="69" t="s">
        <v>180</v>
      </c>
      <c r="E260" s="70">
        <v>385.9</v>
      </c>
      <c r="F260" s="71">
        <v>286.72000000000003</v>
      </c>
      <c r="G260" s="151">
        <f t="shared" si="99"/>
        <v>110637.5</v>
      </c>
      <c r="H260" s="73">
        <f>-(6.3*0.9*1.6)</f>
        <v>-9.072000000000001</v>
      </c>
      <c r="I260" s="74">
        <f t="shared" si="104"/>
        <v>286.72000000000003</v>
      </c>
      <c r="J260" s="75">
        <f t="shared" si="100"/>
        <v>-2608.8999999999942</v>
      </c>
      <c r="K260" s="76">
        <f t="shared" si="101"/>
        <v>376.82799999999997</v>
      </c>
      <c r="L260" s="77">
        <f t="shared" si="102"/>
        <v>286.72000000000003</v>
      </c>
      <c r="M260" s="78">
        <f t="shared" si="103"/>
        <v>108028.6</v>
      </c>
    </row>
    <row r="261" spans="1:13" s="89" customFormat="1" ht="23.1" customHeight="1">
      <c r="A261" s="66" t="s">
        <v>147</v>
      </c>
      <c r="B261" s="67" t="s">
        <v>166</v>
      </c>
      <c r="C261" s="68" t="s">
        <v>196</v>
      </c>
      <c r="D261" s="69" t="s">
        <v>180</v>
      </c>
      <c r="E261" s="70">
        <v>107.6</v>
      </c>
      <c r="F261" s="71">
        <v>318.27999999999997</v>
      </c>
      <c r="G261" s="151">
        <f t="shared" si="99"/>
        <v>34249.1</v>
      </c>
      <c r="H261" s="73">
        <f>-(0.3*0.9*6.3)</f>
        <v>-1.7010000000000001</v>
      </c>
      <c r="I261" s="74">
        <f t="shared" si="104"/>
        <v>318.27999999999997</v>
      </c>
      <c r="J261" s="75">
        <f t="shared" si="100"/>
        <v>-541.09999999999854</v>
      </c>
      <c r="K261" s="76">
        <f t="shared" si="101"/>
        <v>105.899</v>
      </c>
      <c r="L261" s="77">
        <f t="shared" si="102"/>
        <v>318.27999999999997</v>
      </c>
      <c r="M261" s="78">
        <f t="shared" si="103"/>
        <v>33708</v>
      </c>
    </row>
    <row r="262" spans="1:13" s="89" customFormat="1" ht="18" customHeight="1">
      <c r="A262" s="66" t="s">
        <v>151</v>
      </c>
      <c r="B262" s="67" t="s">
        <v>168</v>
      </c>
      <c r="C262" s="68" t="s">
        <v>197</v>
      </c>
      <c r="D262" s="69" t="s">
        <v>58</v>
      </c>
      <c r="E262" s="70">
        <v>215.1</v>
      </c>
      <c r="F262" s="71">
        <v>172.71</v>
      </c>
      <c r="G262" s="151">
        <f t="shared" si="99"/>
        <v>37147.800000000003</v>
      </c>
      <c r="H262" s="73">
        <f>H261*2</f>
        <v>-3.4020000000000001</v>
      </c>
      <c r="I262" s="74">
        <f t="shared" si="104"/>
        <v>172.71</v>
      </c>
      <c r="J262" s="75">
        <f t="shared" si="100"/>
        <v>-587.20000000000437</v>
      </c>
      <c r="K262" s="76">
        <f t="shared" si="101"/>
        <v>211.69800000000001</v>
      </c>
      <c r="L262" s="77">
        <f t="shared" si="102"/>
        <v>172.71</v>
      </c>
      <c r="M262" s="78">
        <f t="shared" si="103"/>
        <v>36560.6</v>
      </c>
    </row>
    <row r="263" spans="1:13" s="89" customFormat="1" ht="18" customHeight="1">
      <c r="A263" s="66" t="s">
        <v>233</v>
      </c>
      <c r="B263" s="67" t="s">
        <v>172</v>
      </c>
      <c r="C263" s="68" t="s">
        <v>198</v>
      </c>
      <c r="D263" s="69" t="s">
        <v>180</v>
      </c>
      <c r="E263" s="70">
        <v>261.5</v>
      </c>
      <c r="F263" s="71">
        <v>160.46</v>
      </c>
      <c r="G263" s="151">
        <f t="shared" si="99"/>
        <v>41970.8</v>
      </c>
      <c r="H263" s="73">
        <f>H257</f>
        <v>-11.34</v>
      </c>
      <c r="I263" s="74">
        <f t="shared" si="104"/>
        <v>160.46</v>
      </c>
      <c r="J263" s="75">
        <f t="shared" si="100"/>
        <v>-1813.7000000000044</v>
      </c>
      <c r="K263" s="76">
        <f t="shared" si="101"/>
        <v>250.16</v>
      </c>
      <c r="L263" s="77">
        <f t="shared" si="102"/>
        <v>160.46</v>
      </c>
      <c r="M263" s="78">
        <f t="shared" si="103"/>
        <v>40157.1</v>
      </c>
    </row>
    <row r="264" spans="1:13" s="89" customFormat="1" ht="18" customHeight="1">
      <c r="A264" s="66" t="s">
        <v>94</v>
      </c>
      <c r="B264" s="67" t="s">
        <v>175</v>
      </c>
      <c r="C264" s="68" t="s">
        <v>199</v>
      </c>
      <c r="D264" s="69" t="s">
        <v>180</v>
      </c>
      <c r="E264" s="70">
        <v>148.5</v>
      </c>
      <c r="F264" s="71">
        <v>247.39</v>
      </c>
      <c r="G264" s="151">
        <f t="shared" si="99"/>
        <v>36738.9</v>
      </c>
      <c r="H264" s="73">
        <f>H258</f>
        <v>-2.2680000000000002</v>
      </c>
      <c r="I264" s="74">
        <f t="shared" si="104"/>
        <v>247.39</v>
      </c>
      <c r="J264" s="75">
        <f t="shared" si="100"/>
        <v>-569</v>
      </c>
      <c r="K264" s="76">
        <f t="shared" si="101"/>
        <v>146.232</v>
      </c>
      <c r="L264" s="77">
        <f t="shared" si="102"/>
        <v>247.39</v>
      </c>
      <c r="M264" s="78">
        <f t="shared" si="103"/>
        <v>36169.9</v>
      </c>
    </row>
    <row r="265" spans="1:13" s="89" customFormat="1" ht="18" customHeight="1">
      <c r="A265" s="60" t="s">
        <v>108</v>
      </c>
      <c r="B265" s="61" t="s">
        <v>200</v>
      </c>
      <c r="C265" s="62"/>
      <c r="D265" s="62"/>
      <c r="E265" s="62"/>
      <c r="F265" s="63"/>
      <c r="G265" s="64"/>
      <c r="H265" s="65"/>
      <c r="I265" s="65"/>
      <c r="J265" s="65"/>
      <c r="K265" s="65"/>
      <c r="L265" s="64"/>
      <c r="M265" s="64"/>
    </row>
    <row r="266" spans="1:13" s="89" customFormat="1" ht="18" customHeight="1">
      <c r="A266" s="66" t="s">
        <v>158</v>
      </c>
      <c r="B266" s="67" t="s">
        <v>202</v>
      </c>
      <c r="C266" s="68" t="s">
        <v>205</v>
      </c>
      <c r="D266" s="69" t="s">
        <v>51</v>
      </c>
      <c r="E266" s="70">
        <v>224.5</v>
      </c>
      <c r="F266" s="71">
        <v>26.3</v>
      </c>
      <c r="G266" s="151">
        <f t="shared" si="99"/>
        <v>5904.4</v>
      </c>
      <c r="H266" s="73">
        <v>-6.3</v>
      </c>
      <c r="I266" s="74">
        <f t="shared" si="104"/>
        <v>26.3</v>
      </c>
      <c r="J266" s="75">
        <f t="shared" ref="J266:J267" si="105">+M266-G266</f>
        <v>-165.69999999999982</v>
      </c>
      <c r="K266" s="76">
        <f t="shared" ref="K266:K267" si="106">E266+H266</f>
        <v>218.2</v>
      </c>
      <c r="L266" s="77">
        <f t="shared" ref="L266:L267" si="107">+I266</f>
        <v>26.3</v>
      </c>
      <c r="M266" s="78">
        <f t="shared" ref="M266:M267" si="108">ROUND(ROUND(L266,1)*ROUND(K266,1),1)</f>
        <v>5738.7</v>
      </c>
    </row>
    <row r="267" spans="1:13" s="89" customFormat="1" ht="18" customHeight="1">
      <c r="A267" s="66" t="s">
        <v>160</v>
      </c>
      <c r="B267" s="67" t="s">
        <v>204</v>
      </c>
      <c r="C267" s="68" t="s">
        <v>206</v>
      </c>
      <c r="D267" s="69" t="s">
        <v>51</v>
      </c>
      <c r="E267" s="70">
        <v>224.5</v>
      </c>
      <c r="F267" s="71">
        <v>6.58</v>
      </c>
      <c r="G267" s="151">
        <f t="shared" si="99"/>
        <v>1481.7</v>
      </c>
      <c r="H267" s="73">
        <v>-6.3</v>
      </c>
      <c r="I267" s="74">
        <f t="shared" si="104"/>
        <v>6.58</v>
      </c>
      <c r="J267" s="75">
        <f t="shared" si="105"/>
        <v>-41.600000000000136</v>
      </c>
      <c r="K267" s="76">
        <f t="shared" si="106"/>
        <v>218.2</v>
      </c>
      <c r="L267" s="77">
        <f t="shared" si="107"/>
        <v>6.58</v>
      </c>
      <c r="M267" s="78">
        <f t="shared" si="108"/>
        <v>1440.1</v>
      </c>
    </row>
    <row r="268" spans="1:13" s="89" customFormat="1" ht="18" customHeight="1">
      <c r="A268" s="60" t="s">
        <v>109</v>
      </c>
      <c r="B268" s="61" t="s">
        <v>207</v>
      </c>
      <c r="C268" s="62"/>
      <c r="D268" s="62"/>
      <c r="E268" s="62"/>
      <c r="F268" s="63"/>
      <c r="G268" s="64"/>
      <c r="H268" s="65"/>
      <c r="I268" s="65"/>
      <c r="J268" s="65"/>
      <c r="K268" s="65"/>
      <c r="L268" s="64"/>
      <c r="M268" s="64"/>
    </row>
    <row r="269" spans="1:13" s="89" customFormat="1" ht="18" customHeight="1">
      <c r="A269" s="66" t="s">
        <v>161</v>
      </c>
      <c r="B269" s="67" t="s">
        <v>299</v>
      </c>
      <c r="C269" s="68" t="s">
        <v>300</v>
      </c>
      <c r="D269" s="69" t="s">
        <v>36</v>
      </c>
      <c r="E269" s="70">
        <v>46.3</v>
      </c>
      <c r="F269" s="172">
        <v>114.68</v>
      </c>
      <c r="G269" s="151">
        <f t="shared" si="99"/>
        <v>5310.6</v>
      </c>
      <c r="H269" s="73">
        <f>-(6.3*0.1*0.9)</f>
        <v>-0.56700000000000006</v>
      </c>
      <c r="I269" s="74">
        <f t="shared" si="104"/>
        <v>114.68</v>
      </c>
      <c r="J269" s="75">
        <f>+M269-G269</f>
        <v>-68.800000000000182</v>
      </c>
      <c r="K269" s="76">
        <f>E269+H269</f>
        <v>45.732999999999997</v>
      </c>
      <c r="L269" s="77">
        <f t="shared" ref="L269" si="109">+I269</f>
        <v>114.68</v>
      </c>
      <c r="M269" s="78">
        <f t="shared" ref="M269" si="110">ROUND(ROUND(L269,1)*ROUND(K269,1),1)</f>
        <v>5241.8</v>
      </c>
    </row>
    <row r="270" spans="1:13" s="89" customFormat="1" ht="18" customHeight="1">
      <c r="A270" s="60" t="s">
        <v>37</v>
      </c>
      <c r="B270" s="61" t="s">
        <v>38</v>
      </c>
      <c r="C270" s="62"/>
      <c r="D270" s="62"/>
      <c r="E270" s="62"/>
      <c r="F270" s="63"/>
      <c r="G270" s="63"/>
      <c r="H270" s="65"/>
      <c r="I270" s="65"/>
      <c r="J270" s="65"/>
      <c r="K270" s="65"/>
      <c r="L270" s="64"/>
      <c r="M270" s="64"/>
    </row>
    <row r="271" spans="1:13" s="89" customFormat="1" ht="18" customHeight="1">
      <c r="A271" s="66" t="s">
        <v>170</v>
      </c>
      <c r="B271" s="67" t="s">
        <v>217</v>
      </c>
      <c r="C271" s="68" t="s">
        <v>220</v>
      </c>
      <c r="D271" s="69" t="s">
        <v>36</v>
      </c>
      <c r="E271" s="70">
        <v>79.400000000000006</v>
      </c>
      <c r="F271" s="172">
        <v>302.54000000000002</v>
      </c>
      <c r="G271" s="151">
        <f t="shared" si="99"/>
        <v>24018.5</v>
      </c>
      <c r="H271" s="73">
        <f>-(6.3*0.9)</f>
        <v>-5.67</v>
      </c>
      <c r="I271" s="74">
        <f t="shared" si="104"/>
        <v>302.54000000000002</v>
      </c>
      <c r="J271" s="75">
        <f>+M271-G271</f>
        <v>-1724.2000000000007</v>
      </c>
      <c r="K271" s="76">
        <f>E271+H271</f>
        <v>73.73</v>
      </c>
      <c r="L271" s="77">
        <f t="shared" ref="L271" si="111">+I271</f>
        <v>302.54000000000002</v>
      </c>
      <c r="M271" s="78">
        <f t="shared" ref="M271" si="112">ROUND(ROUND(L271,1)*ROUND(K271,1),1)</f>
        <v>22294.3</v>
      </c>
    </row>
    <row r="272" spans="1:13" s="89" customFormat="1" ht="18" customHeight="1">
      <c r="A272" s="60" t="s">
        <v>111</v>
      </c>
      <c r="B272" s="61" t="s">
        <v>259</v>
      </c>
      <c r="C272" s="62"/>
      <c r="D272" s="62"/>
      <c r="E272" s="62"/>
      <c r="F272" s="63"/>
      <c r="G272" s="64"/>
      <c r="H272" s="65"/>
      <c r="I272" s="65"/>
      <c r="J272" s="65"/>
      <c r="K272" s="65"/>
      <c r="L272" s="64"/>
      <c r="M272" s="64"/>
    </row>
    <row r="273" spans="1:13" s="89" customFormat="1" ht="18" customHeight="1">
      <c r="A273" s="66" t="s">
        <v>213</v>
      </c>
      <c r="B273" s="67" t="s">
        <v>301</v>
      </c>
      <c r="C273" s="68" t="s">
        <v>302</v>
      </c>
      <c r="D273" s="69" t="s">
        <v>51</v>
      </c>
      <c r="E273" s="70">
        <v>219.7</v>
      </c>
      <c r="F273" s="71">
        <v>26.3</v>
      </c>
      <c r="G273" s="151">
        <f t="shared" si="99"/>
        <v>5778.1</v>
      </c>
      <c r="H273" s="73">
        <v>-6.3</v>
      </c>
      <c r="I273" s="74">
        <f t="shared" si="104"/>
        <v>26.3</v>
      </c>
      <c r="J273" s="75">
        <f>+M273-G273</f>
        <v>-165.70000000000073</v>
      </c>
      <c r="K273" s="76">
        <f>E273+H273</f>
        <v>213.39999999999998</v>
      </c>
      <c r="L273" s="77">
        <f t="shared" ref="L273" si="113">+I273</f>
        <v>26.3</v>
      </c>
      <c r="M273" s="78">
        <f t="shared" ref="M273" si="114">ROUND(ROUND(L273,1)*ROUND(K273,1),1)</f>
        <v>5612.4</v>
      </c>
    </row>
    <row r="274" spans="1:13" s="89" customFormat="1" ht="18" customHeight="1">
      <c r="A274" s="60" t="s">
        <v>112</v>
      </c>
      <c r="B274" s="61" t="s">
        <v>224</v>
      </c>
      <c r="C274" s="62"/>
      <c r="D274" s="62"/>
      <c r="E274" s="62"/>
      <c r="F274" s="63"/>
      <c r="G274" s="64"/>
      <c r="H274" s="65"/>
      <c r="I274" s="65"/>
      <c r="J274" s="65"/>
      <c r="K274" s="65"/>
      <c r="L274" s="64"/>
      <c r="M274" s="64"/>
    </row>
    <row r="275" spans="1:13" s="89" customFormat="1" ht="23.1" customHeight="1">
      <c r="A275" s="66" t="s">
        <v>215</v>
      </c>
      <c r="B275" s="67" t="s">
        <v>303</v>
      </c>
      <c r="C275" s="68" t="s">
        <v>305</v>
      </c>
      <c r="D275" s="69" t="s">
        <v>51</v>
      </c>
      <c r="E275" s="70">
        <v>219.5</v>
      </c>
      <c r="F275" s="71">
        <v>368.26</v>
      </c>
      <c r="G275" s="151">
        <f t="shared" si="99"/>
        <v>80841.899999999994</v>
      </c>
      <c r="H275" s="73">
        <v>-6.3</v>
      </c>
      <c r="I275" s="74">
        <f t="shared" si="104"/>
        <v>368.26</v>
      </c>
      <c r="J275" s="75">
        <f t="shared" ref="J275:J277" si="115">+M275-G275</f>
        <v>-2320.2999999999884</v>
      </c>
      <c r="K275" s="76">
        <f t="shared" ref="K275:K277" si="116">E275+H275</f>
        <v>213.2</v>
      </c>
      <c r="L275" s="77">
        <f t="shared" ref="L275:L277" si="117">+I275</f>
        <v>368.26</v>
      </c>
      <c r="M275" s="78">
        <f t="shared" ref="M275:M277" si="118">ROUND(ROUND(L275,1)*ROUND(K275,1),1)</f>
        <v>78521.600000000006</v>
      </c>
    </row>
    <row r="276" spans="1:13" s="89" customFormat="1" ht="18" customHeight="1">
      <c r="A276" s="66" t="s">
        <v>216</v>
      </c>
      <c r="B276" s="67" t="s">
        <v>304</v>
      </c>
      <c r="C276" s="68" t="s">
        <v>306</v>
      </c>
      <c r="D276" s="69" t="s">
        <v>51</v>
      </c>
      <c r="E276" s="70">
        <v>219.5</v>
      </c>
      <c r="F276" s="71">
        <v>459.01</v>
      </c>
      <c r="G276" s="151">
        <f t="shared" si="99"/>
        <v>100750.5</v>
      </c>
      <c r="H276" s="73">
        <v>-6.3</v>
      </c>
      <c r="I276" s="74">
        <f t="shared" si="104"/>
        <v>459.01</v>
      </c>
      <c r="J276" s="75">
        <f t="shared" si="115"/>
        <v>-2891.6999999999971</v>
      </c>
      <c r="K276" s="76">
        <f t="shared" si="116"/>
        <v>213.2</v>
      </c>
      <c r="L276" s="77">
        <f t="shared" si="117"/>
        <v>459.01</v>
      </c>
      <c r="M276" s="78">
        <f t="shared" si="118"/>
        <v>97858.8</v>
      </c>
    </row>
    <row r="277" spans="1:13" s="89" customFormat="1" ht="18" customHeight="1">
      <c r="A277" s="66" t="s">
        <v>226</v>
      </c>
      <c r="B277" s="67" t="s">
        <v>238</v>
      </c>
      <c r="C277" s="68" t="s">
        <v>241</v>
      </c>
      <c r="D277" s="69" t="s">
        <v>51</v>
      </c>
      <c r="E277" s="70">
        <v>220.9</v>
      </c>
      <c r="F277" s="172">
        <v>9.2100000000000009</v>
      </c>
      <c r="G277" s="151">
        <f t="shared" si="99"/>
        <v>2032.3</v>
      </c>
      <c r="H277" s="73">
        <v>-6.3</v>
      </c>
      <c r="I277" s="74">
        <f t="shared" si="104"/>
        <v>9.2100000000000009</v>
      </c>
      <c r="J277" s="75">
        <f t="shared" si="115"/>
        <v>-58</v>
      </c>
      <c r="K277" s="76">
        <f t="shared" si="116"/>
        <v>214.6</v>
      </c>
      <c r="L277" s="77">
        <f t="shared" si="117"/>
        <v>9.2100000000000009</v>
      </c>
      <c r="M277" s="78">
        <f t="shared" si="118"/>
        <v>1974.3</v>
      </c>
    </row>
    <row r="278" spans="1:13" s="89" customFormat="1" ht="18" customHeight="1">
      <c r="A278" s="60" t="s">
        <v>0</v>
      </c>
      <c r="B278" s="61" t="s">
        <v>47</v>
      </c>
      <c r="C278" s="62"/>
      <c r="D278" s="62"/>
      <c r="E278" s="62"/>
      <c r="F278" s="63"/>
      <c r="G278" s="64"/>
      <c r="H278" s="65"/>
      <c r="I278" s="65"/>
      <c r="J278" s="65"/>
      <c r="K278" s="65"/>
      <c r="L278" s="64"/>
      <c r="M278" s="64"/>
    </row>
    <row r="279" spans="1:13" s="89" customFormat="1" ht="18" customHeight="1">
      <c r="A279" s="66" t="s">
        <v>231</v>
      </c>
      <c r="B279" s="67" t="s">
        <v>243</v>
      </c>
      <c r="C279" s="68" t="s">
        <v>246</v>
      </c>
      <c r="D279" s="69" t="s">
        <v>51</v>
      </c>
      <c r="E279" s="70">
        <v>144.30000000000001</v>
      </c>
      <c r="F279" s="71">
        <v>149.94</v>
      </c>
      <c r="G279" s="151">
        <f t="shared" si="99"/>
        <v>21630.6</v>
      </c>
      <c r="H279" s="73">
        <f>-6.3*2</f>
        <v>-12.6</v>
      </c>
      <c r="I279" s="74">
        <f t="shared" si="104"/>
        <v>149.94</v>
      </c>
      <c r="J279" s="75">
        <f t="shared" ref="J279:J283" si="119">+M279-G279</f>
        <v>-1888.7999999999993</v>
      </c>
      <c r="K279" s="76">
        <f t="shared" ref="K279:K283" si="120">E279+H279</f>
        <v>131.70000000000002</v>
      </c>
      <c r="L279" s="77">
        <f t="shared" ref="L279:L283" si="121">+I279</f>
        <v>149.94</v>
      </c>
      <c r="M279" s="78">
        <f t="shared" ref="M279:M283" si="122">ROUND(ROUND(L279,1)*ROUND(K279,1),1)</f>
        <v>19741.8</v>
      </c>
    </row>
    <row r="280" spans="1:13" s="89" customFormat="1" ht="18" customHeight="1">
      <c r="A280" s="66" t="s">
        <v>85</v>
      </c>
      <c r="B280" s="67" t="s">
        <v>56</v>
      </c>
      <c r="C280" s="68" t="s">
        <v>57</v>
      </c>
      <c r="D280" s="69" t="s">
        <v>58</v>
      </c>
      <c r="E280" s="70">
        <v>115</v>
      </c>
      <c r="F280" s="71">
        <v>51.29</v>
      </c>
      <c r="G280" s="151">
        <f t="shared" si="99"/>
        <v>5899.5</v>
      </c>
      <c r="H280" s="73">
        <f>-(0.4*0.9*6.3)*1.8</f>
        <v>-4.0824000000000007</v>
      </c>
      <c r="I280" s="74">
        <f t="shared" si="104"/>
        <v>51.29</v>
      </c>
      <c r="J280" s="75">
        <f t="shared" si="119"/>
        <v>-210.30000000000018</v>
      </c>
      <c r="K280" s="76">
        <f t="shared" si="120"/>
        <v>110.91759999999999</v>
      </c>
      <c r="L280" s="77">
        <f t="shared" si="121"/>
        <v>51.29</v>
      </c>
      <c r="M280" s="78">
        <f t="shared" si="122"/>
        <v>5689.2</v>
      </c>
    </row>
    <row r="281" spans="1:13" s="89" customFormat="1" ht="23.1" customHeight="1">
      <c r="A281" s="66" t="s">
        <v>75</v>
      </c>
      <c r="B281" s="67" t="s">
        <v>60</v>
      </c>
      <c r="C281" s="68" t="s">
        <v>61</v>
      </c>
      <c r="D281" s="69" t="s">
        <v>58</v>
      </c>
      <c r="E281" s="70">
        <v>28.2</v>
      </c>
      <c r="F281" s="71">
        <v>257.77999999999997</v>
      </c>
      <c r="G281" s="151">
        <f t="shared" si="99"/>
        <v>7270</v>
      </c>
      <c r="H281" s="73">
        <f>-(0.1*0.9*6.3)*1.8</f>
        <v>-1.0206000000000002</v>
      </c>
      <c r="I281" s="74">
        <f t="shared" si="104"/>
        <v>257.77999999999997</v>
      </c>
      <c r="J281" s="75">
        <f t="shared" si="119"/>
        <v>-257.80000000000018</v>
      </c>
      <c r="K281" s="76">
        <f t="shared" si="120"/>
        <v>27.179399999999998</v>
      </c>
      <c r="L281" s="77">
        <f t="shared" si="121"/>
        <v>257.77999999999997</v>
      </c>
      <c r="M281" s="78">
        <f t="shared" si="122"/>
        <v>7012.2</v>
      </c>
    </row>
    <row r="282" spans="1:13" s="89" customFormat="1" ht="23.1" customHeight="1">
      <c r="A282" s="66" t="s">
        <v>76</v>
      </c>
      <c r="B282" s="67" t="s">
        <v>245</v>
      </c>
      <c r="C282" s="68" t="s">
        <v>247</v>
      </c>
      <c r="D282" s="69" t="s">
        <v>58</v>
      </c>
      <c r="E282" s="70">
        <v>72.7</v>
      </c>
      <c r="F282" s="71">
        <v>154.66999999999999</v>
      </c>
      <c r="G282" s="151">
        <f t="shared" si="99"/>
        <v>11246.7</v>
      </c>
      <c r="H282" s="73">
        <f>-(0.3*0.9*6.3)*1.8</f>
        <v>-3.0618000000000003</v>
      </c>
      <c r="I282" s="74">
        <f t="shared" si="104"/>
        <v>154.66999999999999</v>
      </c>
      <c r="J282" s="75">
        <f t="shared" si="119"/>
        <v>-479.60000000000036</v>
      </c>
      <c r="K282" s="76">
        <f t="shared" si="120"/>
        <v>69.638199999999998</v>
      </c>
      <c r="L282" s="77">
        <f t="shared" si="121"/>
        <v>154.66999999999999</v>
      </c>
      <c r="M282" s="78">
        <f t="shared" si="122"/>
        <v>10767.1</v>
      </c>
    </row>
    <row r="283" spans="1:13" s="89" customFormat="1" ht="18" customHeight="1">
      <c r="A283" s="66" t="s">
        <v>87</v>
      </c>
      <c r="B283" s="67" t="s">
        <v>66</v>
      </c>
      <c r="C283" s="68" t="s">
        <v>64</v>
      </c>
      <c r="D283" s="69" t="s">
        <v>58</v>
      </c>
      <c r="E283" s="70">
        <v>115</v>
      </c>
      <c r="F283" s="71">
        <v>127.96</v>
      </c>
      <c r="G283" s="151">
        <f t="shared" si="99"/>
        <v>14720</v>
      </c>
      <c r="H283" s="73">
        <f>-(0.4*0.9*6.3)*1.8</f>
        <v>-4.0824000000000007</v>
      </c>
      <c r="I283" s="74">
        <f t="shared" si="104"/>
        <v>127.96</v>
      </c>
      <c r="J283" s="75">
        <f t="shared" si="119"/>
        <v>-524.79999999999927</v>
      </c>
      <c r="K283" s="76">
        <f t="shared" si="120"/>
        <v>110.91759999999999</v>
      </c>
      <c r="L283" s="77">
        <f t="shared" si="121"/>
        <v>127.96</v>
      </c>
      <c r="M283" s="78">
        <f t="shared" si="122"/>
        <v>14195.2</v>
      </c>
    </row>
    <row r="284" spans="1:13" s="89" customFormat="1" ht="18" customHeight="1">
      <c r="A284" s="144"/>
      <c r="B284" s="144"/>
      <c r="C284" s="80"/>
      <c r="D284" s="80"/>
      <c r="E284" s="152"/>
      <c r="F284" s="40"/>
      <c r="G284" s="82">
        <f>SUM(G242:G283)</f>
        <v>1644589.9000000004</v>
      </c>
      <c r="H284" s="83"/>
      <c r="I284" s="84"/>
      <c r="J284" s="85">
        <f>SUM(J242:J283)</f>
        <v>-41621.299999999959</v>
      </c>
      <c r="K284" s="86"/>
      <c r="L284" s="87"/>
      <c r="M284" s="88">
        <f>SUM(M242:M283)</f>
        <v>1602968.6000000006</v>
      </c>
    </row>
    <row r="285" spans="1:13" s="102" customFormat="1" ht="24.95" customHeight="1" thickBot="1">
      <c r="A285" s="90"/>
      <c r="B285" s="91"/>
      <c r="C285" s="92"/>
      <c r="D285" s="93"/>
      <c r="E285" s="94"/>
      <c r="F285" s="95"/>
      <c r="G285" s="96"/>
      <c r="H285" s="97"/>
      <c r="I285" s="98"/>
      <c r="J285" s="99"/>
      <c r="K285" s="100"/>
      <c r="L285" s="100"/>
      <c r="M285" s="101"/>
    </row>
    <row r="286" spans="1:13" s="102" customFormat="1" ht="24.95" customHeight="1" thickBot="1">
      <c r="A286" s="103"/>
      <c r="B286" s="104"/>
      <c r="C286" s="105" t="s">
        <v>20</v>
      </c>
      <c r="D286" s="106"/>
      <c r="E286" s="107"/>
      <c r="F286" s="108"/>
      <c r="G286" s="109">
        <f>G284+G235+G191+G147+G103+G59</f>
        <v>14324482.200000003</v>
      </c>
      <c r="H286" s="110"/>
      <c r="I286" s="110"/>
      <c r="J286" s="111">
        <f>J284+J235+J191+J147+J103+J59</f>
        <v>-75157.199999999983</v>
      </c>
      <c r="K286" s="110"/>
      <c r="L286" s="110"/>
      <c r="M286" s="112">
        <f>M284+M235+M191+M147+M103+M59</f>
        <v>14249324.999999998</v>
      </c>
    </row>
    <row r="287" spans="1:13" s="102" customFormat="1" ht="24.95" customHeight="1">
      <c r="B287" s="116"/>
      <c r="C287" s="117"/>
      <c r="D287" s="118"/>
      <c r="E287" s="119"/>
      <c r="F287" s="95"/>
      <c r="G287" s="120"/>
      <c r="H287" s="121"/>
      <c r="I287" s="122"/>
      <c r="J287" s="113"/>
      <c r="K287" s="114"/>
      <c r="L287" s="114"/>
      <c r="M287" s="115"/>
    </row>
    <row r="288" spans="1:13" s="123" customFormat="1" ht="24.95" customHeight="1">
      <c r="B288" s="124" t="s">
        <v>21</v>
      </c>
      <c r="C288" s="125" t="s">
        <v>22</v>
      </c>
      <c r="E288" s="126"/>
      <c r="G288" s="125" t="s">
        <v>23</v>
      </c>
      <c r="H288" s="121"/>
      <c r="I288" s="127"/>
      <c r="J288" s="113"/>
      <c r="K288" s="128" t="s">
        <v>24</v>
      </c>
      <c r="L288" s="115"/>
      <c r="M288" s="115"/>
    </row>
    <row r="289" spans="2:13" s="123" customFormat="1" ht="24.95" customHeight="1">
      <c r="B289" s="124"/>
      <c r="C289" s="125"/>
      <c r="E289" s="126"/>
      <c r="G289" s="125"/>
      <c r="H289" s="121"/>
      <c r="I289" s="127"/>
      <c r="J289" s="113"/>
      <c r="K289" s="128"/>
      <c r="L289" s="115"/>
      <c r="M289" s="115"/>
    </row>
    <row r="290" spans="2:13" s="123" customFormat="1" ht="24.95" customHeight="1">
      <c r="B290" s="124" t="s">
        <v>25</v>
      </c>
      <c r="C290" s="124" t="s">
        <v>26</v>
      </c>
      <c r="E290" s="126"/>
      <c r="G290" s="124" t="s">
        <v>25</v>
      </c>
      <c r="H290" s="121"/>
      <c r="I290" s="127"/>
      <c r="J290" s="113"/>
      <c r="K290" s="124" t="s">
        <v>25</v>
      </c>
      <c r="L290" s="115"/>
      <c r="M290" s="115"/>
    </row>
    <row r="291" spans="2:13">
      <c r="B291" s="40"/>
      <c r="C291" s="40"/>
      <c r="D291" s="40"/>
      <c r="E291" s="41"/>
      <c r="G291" s="43"/>
      <c r="H291" s="44"/>
      <c r="I291" s="45"/>
      <c r="M291" s="149"/>
    </row>
    <row r="292" spans="2:13">
      <c r="B292" s="40"/>
      <c r="C292" s="40"/>
      <c r="D292" s="40"/>
      <c r="E292" s="41"/>
      <c r="G292" s="43"/>
      <c r="H292" s="44"/>
      <c r="I292" s="45"/>
    </row>
    <row r="293" spans="2:13">
      <c r="B293" s="40"/>
      <c r="C293" s="40"/>
      <c r="D293" s="40"/>
      <c r="E293" s="41"/>
      <c r="G293" s="43"/>
      <c r="H293" s="44"/>
      <c r="I293" s="45"/>
    </row>
    <row r="294" spans="2:13">
      <c r="B294" s="40"/>
      <c r="C294" s="40"/>
      <c r="D294" s="40"/>
      <c r="E294" s="41"/>
      <c r="G294" s="43"/>
      <c r="H294" s="44"/>
      <c r="I294" s="45"/>
      <c r="K294" s="148"/>
    </row>
    <row r="295" spans="2:13">
      <c r="B295" s="40"/>
      <c r="C295" s="40"/>
      <c r="D295" s="40"/>
      <c r="E295" s="41"/>
      <c r="G295" s="43"/>
      <c r="H295" s="44"/>
      <c r="I295" s="45"/>
    </row>
    <row r="296" spans="2:13">
      <c r="B296" s="40"/>
      <c r="C296" s="40"/>
      <c r="D296" s="40"/>
      <c r="E296" s="41"/>
      <c r="G296" s="43"/>
      <c r="H296" s="44"/>
      <c r="I296" s="45"/>
    </row>
    <row r="297" spans="2:13">
      <c r="B297" s="40"/>
      <c r="C297" s="40"/>
      <c r="D297" s="40"/>
      <c r="E297" s="41"/>
      <c r="G297" s="43"/>
      <c r="H297" s="44"/>
      <c r="I297" s="45"/>
    </row>
    <row r="298" spans="2:13">
      <c r="B298" s="40"/>
      <c r="C298" s="40"/>
      <c r="D298" s="40"/>
      <c r="E298" s="41"/>
      <c r="G298" s="43"/>
      <c r="H298" s="44"/>
      <c r="I298" s="45"/>
    </row>
    <row r="299" spans="2:13">
      <c r="B299" s="40"/>
      <c r="C299" s="40"/>
      <c r="D299" s="40"/>
      <c r="E299" s="41"/>
      <c r="G299" s="43"/>
      <c r="H299" s="44"/>
      <c r="I299" s="45"/>
    </row>
    <row r="300" spans="2:13">
      <c r="B300" s="40"/>
      <c r="C300" s="40"/>
      <c r="D300" s="40"/>
      <c r="E300" s="41"/>
      <c r="G300" s="43"/>
      <c r="H300" s="44"/>
      <c r="I300" s="45"/>
    </row>
    <row r="301" spans="2:13">
      <c r="B301" s="40"/>
      <c r="C301" s="40"/>
      <c r="D301" s="40"/>
      <c r="E301" s="41"/>
      <c r="G301" s="43"/>
      <c r="H301" s="44"/>
      <c r="I301" s="45"/>
    </row>
    <row r="302" spans="2:13">
      <c r="B302" s="40"/>
      <c r="C302" s="40"/>
      <c r="D302" s="40"/>
      <c r="E302" s="41"/>
      <c r="G302" s="43"/>
      <c r="H302" s="44"/>
      <c r="I302" s="45"/>
    </row>
    <row r="303" spans="2:13">
      <c r="B303" s="40"/>
      <c r="C303" s="40"/>
      <c r="D303" s="40"/>
      <c r="E303" s="41"/>
      <c r="G303" s="43"/>
      <c r="H303" s="44"/>
      <c r="I303" s="45"/>
    </row>
    <row r="304" spans="2:13">
      <c r="B304" s="40"/>
      <c r="C304" s="40"/>
      <c r="D304" s="40"/>
      <c r="E304" s="41"/>
      <c r="G304" s="43"/>
      <c r="H304" s="44"/>
      <c r="I304" s="45"/>
    </row>
    <row r="305" spans="2:9">
      <c r="B305" s="40"/>
      <c r="C305" s="40"/>
      <c r="D305" s="40"/>
      <c r="E305" s="41"/>
      <c r="G305" s="43"/>
      <c r="H305" s="44"/>
      <c r="I305" s="45"/>
    </row>
    <row r="306" spans="2:9">
      <c r="B306" s="40"/>
      <c r="C306" s="40"/>
      <c r="D306" s="40"/>
      <c r="E306" s="41"/>
      <c r="G306" s="43"/>
      <c r="H306" s="44"/>
      <c r="I306" s="45"/>
    </row>
    <row r="307" spans="2:9">
      <c r="B307" s="40"/>
      <c r="C307" s="40"/>
      <c r="D307" s="40"/>
      <c r="E307" s="41"/>
      <c r="G307" s="43"/>
      <c r="H307" s="44"/>
      <c r="I307" s="45"/>
    </row>
    <row r="308" spans="2:9">
      <c r="B308" s="40"/>
      <c r="C308" s="40"/>
      <c r="D308" s="40"/>
      <c r="E308" s="41"/>
      <c r="G308" s="43"/>
      <c r="H308" s="44"/>
      <c r="I308" s="45"/>
    </row>
    <row r="309" spans="2:9">
      <c r="B309" s="40"/>
      <c r="C309" s="40"/>
      <c r="D309" s="40"/>
      <c r="E309" s="41"/>
      <c r="G309" s="43"/>
      <c r="H309" s="44"/>
      <c r="I309" s="45"/>
    </row>
    <row r="310" spans="2:9">
      <c r="B310" s="40"/>
      <c r="C310" s="40"/>
      <c r="D310" s="40"/>
      <c r="E310" s="41"/>
      <c r="G310" s="43"/>
      <c r="H310" s="44"/>
      <c r="I310" s="45"/>
    </row>
    <row r="311" spans="2:9">
      <c r="B311" s="40"/>
      <c r="C311" s="40"/>
      <c r="D311" s="40"/>
      <c r="E311" s="41"/>
      <c r="G311" s="43"/>
      <c r="H311" s="44"/>
      <c r="I311" s="45"/>
    </row>
    <row r="312" spans="2:9">
      <c r="B312" s="40"/>
      <c r="C312" s="40"/>
      <c r="D312" s="40"/>
      <c r="E312" s="41"/>
      <c r="G312" s="43"/>
      <c r="H312" s="44"/>
      <c r="I312" s="45"/>
    </row>
    <row r="313" spans="2:9">
      <c r="B313" s="40"/>
      <c r="C313" s="40"/>
      <c r="D313" s="40"/>
      <c r="E313" s="41"/>
      <c r="G313" s="43"/>
      <c r="H313" s="44"/>
      <c r="I313" s="45"/>
    </row>
    <row r="314" spans="2:9">
      <c r="B314" s="40"/>
      <c r="C314" s="40"/>
      <c r="D314" s="40"/>
      <c r="E314" s="41"/>
      <c r="G314" s="43"/>
      <c r="H314" s="44"/>
      <c r="I314" s="45"/>
    </row>
    <row r="315" spans="2:9">
      <c r="B315" s="40"/>
      <c r="C315" s="40"/>
      <c r="D315" s="40"/>
      <c r="E315" s="41"/>
      <c r="G315" s="43"/>
      <c r="H315" s="44"/>
      <c r="I315" s="45"/>
    </row>
    <row r="316" spans="2:9">
      <c r="B316" s="40"/>
      <c r="C316" s="40"/>
      <c r="D316" s="40"/>
      <c r="E316" s="41"/>
      <c r="G316" s="43"/>
      <c r="H316" s="44"/>
      <c r="I316" s="45"/>
    </row>
    <row r="317" spans="2:9">
      <c r="B317" s="40"/>
      <c r="C317" s="40"/>
      <c r="D317" s="40"/>
      <c r="E317" s="41"/>
      <c r="G317" s="43"/>
      <c r="H317" s="44"/>
      <c r="I317" s="45"/>
    </row>
    <row r="318" spans="2:9">
      <c r="B318" s="40"/>
      <c r="C318" s="40"/>
      <c r="D318" s="40"/>
      <c r="E318" s="41"/>
      <c r="G318" s="43"/>
      <c r="H318" s="44"/>
      <c r="I318" s="45"/>
    </row>
    <row r="319" spans="2:9">
      <c r="B319" s="40"/>
      <c r="C319" s="40"/>
      <c r="D319" s="40"/>
      <c r="E319" s="41"/>
      <c r="G319" s="43"/>
      <c r="H319" s="44"/>
      <c r="I319" s="45"/>
    </row>
    <row r="320" spans="2:9">
      <c r="B320" s="40"/>
      <c r="C320" s="40"/>
      <c r="D320" s="40"/>
      <c r="E320" s="41"/>
      <c r="G320" s="43"/>
      <c r="H320" s="44"/>
      <c r="I320" s="45"/>
    </row>
    <row r="321" spans="2:9">
      <c r="B321" s="40"/>
      <c r="C321" s="40"/>
      <c r="D321" s="40"/>
      <c r="E321" s="41"/>
      <c r="G321" s="43"/>
      <c r="H321" s="44"/>
      <c r="I321" s="45"/>
    </row>
    <row r="322" spans="2:9">
      <c r="B322" s="40"/>
      <c r="C322" s="40"/>
      <c r="D322" s="40"/>
      <c r="E322" s="41"/>
      <c r="G322" s="43"/>
      <c r="H322" s="44"/>
      <c r="I322" s="45"/>
    </row>
    <row r="323" spans="2:9">
      <c r="B323" s="40"/>
      <c r="C323" s="40"/>
      <c r="D323" s="40"/>
      <c r="E323" s="41"/>
      <c r="G323" s="43"/>
      <c r="H323" s="44"/>
      <c r="I323" s="45"/>
    </row>
    <row r="324" spans="2:9">
      <c r="B324" s="40"/>
      <c r="C324" s="40"/>
      <c r="D324" s="40"/>
      <c r="E324" s="41"/>
      <c r="G324" s="43"/>
      <c r="H324" s="44"/>
      <c r="I324" s="45"/>
    </row>
    <row r="325" spans="2:9">
      <c r="B325" s="40"/>
      <c r="C325" s="40"/>
      <c r="D325" s="40"/>
      <c r="E325" s="41"/>
      <c r="G325" s="43"/>
      <c r="H325" s="44"/>
      <c r="I325" s="45"/>
    </row>
    <row r="326" spans="2:9">
      <c r="B326" s="40"/>
      <c r="C326" s="40"/>
      <c r="D326" s="40"/>
      <c r="E326" s="41"/>
      <c r="G326" s="43"/>
      <c r="H326" s="44"/>
      <c r="I326" s="45"/>
    </row>
    <row r="327" spans="2:9">
      <c r="B327" s="40"/>
      <c r="C327" s="40"/>
      <c r="D327" s="40"/>
      <c r="E327" s="41"/>
      <c r="G327" s="43"/>
      <c r="H327" s="44"/>
      <c r="I327" s="45"/>
    </row>
    <row r="328" spans="2:9">
      <c r="B328" s="40"/>
      <c r="C328" s="40"/>
      <c r="D328" s="40"/>
      <c r="E328" s="41"/>
      <c r="G328" s="43"/>
      <c r="H328" s="44"/>
      <c r="I328" s="45"/>
    </row>
    <row r="329" spans="2:9">
      <c r="B329" s="40"/>
      <c r="C329" s="40"/>
      <c r="D329" s="40"/>
      <c r="E329" s="41"/>
      <c r="G329" s="43"/>
      <c r="H329" s="44"/>
      <c r="I329" s="45"/>
    </row>
    <row r="330" spans="2:9">
      <c r="B330" s="40"/>
      <c r="C330" s="40"/>
      <c r="D330" s="40"/>
      <c r="E330" s="41"/>
      <c r="G330" s="43"/>
      <c r="H330" s="44"/>
      <c r="I330" s="45"/>
    </row>
    <row r="331" spans="2:9">
      <c r="B331" s="40"/>
      <c r="C331" s="40"/>
      <c r="D331" s="40"/>
      <c r="E331" s="41"/>
      <c r="G331" s="43"/>
      <c r="H331" s="44"/>
      <c r="I331" s="45"/>
    </row>
    <row r="332" spans="2:9">
      <c r="B332" s="40"/>
      <c r="C332" s="40"/>
      <c r="D332" s="40"/>
      <c r="E332" s="41"/>
      <c r="G332" s="43"/>
      <c r="H332" s="44"/>
      <c r="I332" s="45"/>
    </row>
    <row r="333" spans="2:9">
      <c r="B333" s="40"/>
      <c r="C333" s="40"/>
      <c r="D333" s="40"/>
      <c r="E333" s="41"/>
      <c r="G333" s="43"/>
      <c r="H333" s="44"/>
      <c r="I333" s="45"/>
    </row>
    <row r="334" spans="2:9">
      <c r="B334" s="40"/>
      <c r="C334" s="40"/>
      <c r="D334" s="40"/>
      <c r="E334" s="41"/>
      <c r="G334" s="43"/>
      <c r="H334" s="44"/>
      <c r="I334" s="45"/>
    </row>
  </sheetData>
  <autoFilter ref="A14:M284" xr:uid="{77541E5E-A73A-4E79-A2C7-DE0544075E0E}"/>
  <mergeCells count="24">
    <mergeCell ref="A11:D11"/>
    <mergeCell ref="E13:G13"/>
    <mergeCell ref="H13:J13"/>
    <mergeCell ref="K13:M13"/>
    <mergeCell ref="A60:D60"/>
    <mergeCell ref="H62:J62"/>
    <mergeCell ref="K62:M62"/>
    <mergeCell ref="A105:D105"/>
    <mergeCell ref="E107:G107"/>
    <mergeCell ref="H107:J107"/>
    <mergeCell ref="K107:M107"/>
    <mergeCell ref="E62:G62"/>
    <mergeCell ref="A149:D149"/>
    <mergeCell ref="E151:G151"/>
    <mergeCell ref="H151:J151"/>
    <mergeCell ref="K151:M151"/>
    <mergeCell ref="A193:D193"/>
    <mergeCell ref="E195:G195"/>
    <mergeCell ref="H195:J195"/>
    <mergeCell ref="K195:M195"/>
    <mergeCell ref="A237:D237"/>
    <mergeCell ref="E239:G239"/>
    <mergeCell ref="H239:J239"/>
    <mergeCell ref="K239:M239"/>
  </mergeCells>
  <conditionalFormatting sqref="U1:AA1 D3 A1:S1">
    <cfRule type="cellIs" dxfId="1" priority="1" stopIfTrue="1" operator="lessThan">
      <formula>0</formula>
    </cfRule>
  </conditionalFormatting>
  <pageMargins left="0.19685039370078741" right="0.19685039370078741" top="0.59055118110236227" bottom="0.59055118110236227" header="0.31496062992125984" footer="0.31496062992125984"/>
  <pageSetup paperSize="9" scale="67" fitToHeight="0" orientation="landscape" r:id="rId1"/>
  <headerFooter alignWithMargins="0">
    <oddFooter>&amp;R&amp;8stránka&amp;P / &amp;N</oddFooter>
  </headerFooter>
  <rowBreaks count="2" manualBreakCount="2">
    <brk id="148" max="12" man="1"/>
    <brk id="187" max="12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D719DE-B8F7-4C39-9EAA-C8821EFAAA0F}">
  <sheetPr>
    <pageSetUpPr fitToPage="1"/>
  </sheetPr>
  <dimension ref="A1:AE66"/>
  <sheetViews>
    <sheetView view="pageBreakPreview" zoomScaleNormal="100" zoomScaleSheetLayoutView="100" workbookViewId="0">
      <selection activeCell="C22" sqref="C22"/>
    </sheetView>
  </sheetViews>
  <sheetFormatPr defaultColWidth="9.140625" defaultRowHeight="12"/>
  <cols>
    <col min="1" max="1" width="7.28515625" style="6" customWidth="1"/>
    <col min="2" max="2" width="12" style="6" customWidth="1"/>
    <col min="3" max="3" width="58.140625" style="6" customWidth="1"/>
    <col min="4" max="4" width="6.140625" style="6" customWidth="1"/>
    <col min="5" max="5" width="9.7109375" style="35" customWidth="1"/>
    <col min="6" max="6" width="15.7109375" style="129" customWidth="1"/>
    <col min="7" max="7" width="18.7109375" style="37" customWidth="1"/>
    <col min="8" max="8" width="9.42578125" style="38" customWidth="1"/>
    <col min="9" max="9" width="15.7109375" style="39" customWidth="1"/>
    <col min="10" max="10" width="18.7109375" style="31" customWidth="1"/>
    <col min="11" max="11" width="9.140625" style="31" customWidth="1"/>
    <col min="12" max="12" width="15.5703125" style="31" customWidth="1"/>
    <col min="13" max="13" width="18.7109375" style="31" customWidth="1"/>
    <col min="14" max="14" width="6.85546875" style="6" bestFit="1" customWidth="1"/>
    <col min="15" max="16384" width="9.140625" style="6"/>
  </cols>
  <sheetData>
    <row r="1" spans="1:31" ht="39" customHeight="1">
      <c r="A1" s="3"/>
      <c r="B1" s="3"/>
      <c r="C1" s="3"/>
      <c r="D1" s="3"/>
      <c r="E1" s="4"/>
      <c r="F1" s="3"/>
      <c r="G1" s="5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</row>
    <row r="2" spans="1:31" ht="18" customHeight="1">
      <c r="A2" s="7"/>
      <c r="B2" s="1"/>
      <c r="C2" s="2" t="s">
        <v>2</v>
      </c>
      <c r="D2" s="137" t="s">
        <v>28</v>
      </c>
      <c r="E2" s="7"/>
      <c r="F2" s="8"/>
      <c r="G2" s="9"/>
      <c r="H2" s="10"/>
      <c r="I2" s="10"/>
      <c r="J2" s="10"/>
      <c r="K2" s="10"/>
      <c r="L2" s="10"/>
      <c r="M2" s="10"/>
      <c r="N2" s="10"/>
      <c r="O2" s="10"/>
      <c r="P2" s="11"/>
      <c r="Q2" s="10"/>
      <c r="R2" s="11"/>
      <c r="S2" s="10"/>
      <c r="T2" s="11"/>
      <c r="U2" s="10"/>
      <c r="V2" s="11"/>
      <c r="W2" s="10"/>
      <c r="X2" s="11"/>
      <c r="Y2" s="10"/>
      <c r="Z2" s="11"/>
      <c r="AA2" s="10"/>
      <c r="AB2" s="12"/>
      <c r="AC2" s="13"/>
      <c r="AD2" s="14"/>
      <c r="AE2" s="15"/>
    </row>
    <row r="3" spans="1:31" ht="18" customHeight="1">
      <c r="A3" s="7"/>
      <c r="B3" s="1"/>
      <c r="C3" s="2" t="s">
        <v>3</v>
      </c>
      <c r="D3" s="137" t="s">
        <v>29</v>
      </c>
      <c r="E3" s="7"/>
      <c r="F3" s="8"/>
      <c r="G3" s="9"/>
      <c r="H3" s="10"/>
      <c r="I3" s="10"/>
      <c r="J3" s="10"/>
      <c r="K3" s="10"/>
      <c r="L3" s="10"/>
      <c r="M3" s="10"/>
      <c r="N3" s="10"/>
      <c r="O3" s="10"/>
      <c r="P3" s="11"/>
      <c r="Q3" s="10"/>
      <c r="R3" s="11"/>
      <c r="S3" s="10"/>
      <c r="T3" s="11"/>
      <c r="U3" s="10"/>
      <c r="V3" s="11"/>
      <c r="W3" s="10"/>
      <c r="X3" s="11"/>
      <c r="Y3" s="10"/>
      <c r="Z3" s="11"/>
      <c r="AA3" s="10"/>
      <c r="AB3" s="12"/>
      <c r="AC3" s="13"/>
      <c r="AD3" s="14"/>
      <c r="AE3" s="15"/>
    </row>
    <row r="4" spans="1:31" ht="18" customHeight="1">
      <c r="A4" s="7"/>
      <c r="B4" s="1"/>
      <c r="C4" s="16" t="s">
        <v>4</v>
      </c>
      <c r="D4" s="161" t="str">
        <f>Rekapitulace!C6</f>
        <v xml:space="preserve">VRI/SOD/2020/12/Ži </v>
      </c>
      <c r="E4" s="7"/>
      <c r="F4" s="8"/>
      <c r="G4" s="9"/>
      <c r="H4" s="10"/>
      <c r="I4" s="10"/>
      <c r="J4" s="10"/>
      <c r="K4" s="10"/>
      <c r="L4" s="10"/>
      <c r="M4" s="10"/>
      <c r="N4" s="10"/>
      <c r="O4" s="10"/>
      <c r="P4" s="11"/>
      <c r="Q4" s="10"/>
      <c r="R4" s="11"/>
      <c r="S4" s="10"/>
      <c r="T4" s="11"/>
      <c r="U4" s="10"/>
      <c r="V4" s="11"/>
      <c r="W4" s="10"/>
      <c r="X4" s="11"/>
      <c r="Y4" s="10"/>
      <c r="Z4" s="11"/>
      <c r="AA4" s="10"/>
      <c r="AB4" s="12"/>
      <c r="AC4" s="13"/>
      <c r="AD4" s="14"/>
      <c r="AE4" s="15"/>
    </row>
    <row r="5" spans="1:31" ht="18" customHeight="1">
      <c r="A5" s="1"/>
      <c r="B5" s="1"/>
      <c r="C5" s="16" t="s">
        <v>5</v>
      </c>
      <c r="D5" s="161" t="str">
        <f>Rekapitulace!C7</f>
        <v>VCES-6003</v>
      </c>
      <c r="E5" s="1"/>
      <c r="F5" s="17"/>
      <c r="G5" s="9"/>
      <c r="H5" s="18"/>
      <c r="I5" s="18"/>
      <c r="J5" s="18"/>
      <c r="K5" s="18"/>
      <c r="L5" s="18"/>
      <c r="M5" s="18"/>
      <c r="N5" s="18"/>
      <c r="O5" s="18"/>
      <c r="P5" s="19"/>
      <c r="Q5" s="18"/>
      <c r="R5" s="19"/>
      <c r="S5" s="18"/>
      <c r="T5" s="19"/>
      <c r="U5" s="18"/>
      <c r="V5" s="19"/>
      <c r="W5" s="18"/>
      <c r="X5" s="19"/>
      <c r="Y5" s="18"/>
      <c r="Z5" s="19"/>
      <c r="AA5" s="18"/>
      <c r="AB5" s="20"/>
      <c r="AC5" s="21"/>
      <c r="AD5" s="22"/>
      <c r="AE5" s="23"/>
    </row>
    <row r="6" spans="1:31" ht="18" customHeight="1">
      <c r="A6" s="1"/>
      <c r="B6" s="1"/>
      <c r="C6" s="2" t="s">
        <v>6</v>
      </c>
      <c r="D6" s="161" t="str">
        <f>Rekapitulace!C8</f>
        <v>Vodovody a kanalizace Mladá Boleslav a.s.</v>
      </c>
      <c r="E6" s="1"/>
      <c r="F6" s="17"/>
      <c r="G6" s="9"/>
      <c r="H6" s="18"/>
      <c r="I6" s="18"/>
      <c r="J6" s="18"/>
      <c r="K6" s="18"/>
      <c r="L6" s="18"/>
      <c r="M6" s="18"/>
      <c r="N6" s="18"/>
      <c r="O6" s="18"/>
      <c r="P6" s="19"/>
      <c r="Q6" s="18"/>
      <c r="R6" s="19"/>
      <c r="S6" s="18"/>
      <c r="T6" s="19"/>
      <c r="U6" s="18"/>
      <c r="V6" s="19"/>
      <c r="W6" s="18"/>
      <c r="X6" s="19"/>
      <c r="Y6" s="18"/>
      <c r="Z6" s="19"/>
      <c r="AA6" s="18"/>
      <c r="AB6" s="20"/>
      <c r="AC6" s="21"/>
      <c r="AD6" s="22"/>
      <c r="AE6" s="23"/>
    </row>
    <row r="7" spans="1:31" ht="18" customHeight="1">
      <c r="A7" s="1"/>
      <c r="B7" s="1"/>
      <c r="C7" s="2" t="s">
        <v>7</v>
      </c>
      <c r="D7" s="162" t="str">
        <f>Rekapitulace!C9</f>
        <v>VCES a.s.</v>
      </c>
      <c r="E7" s="1"/>
      <c r="F7" s="17"/>
      <c r="G7" s="9"/>
      <c r="H7" s="18"/>
      <c r="I7" s="18"/>
      <c r="J7" s="18"/>
      <c r="K7" s="18"/>
      <c r="L7" s="18"/>
      <c r="M7" s="18"/>
      <c r="N7" s="18"/>
      <c r="O7" s="18"/>
      <c r="P7" s="19"/>
      <c r="Q7" s="18"/>
      <c r="R7" s="19"/>
      <c r="S7" s="18"/>
      <c r="T7" s="19"/>
      <c r="U7" s="18"/>
      <c r="V7" s="19"/>
      <c r="W7" s="18"/>
      <c r="X7" s="19"/>
      <c r="Y7" s="18"/>
      <c r="Z7" s="19"/>
      <c r="AA7" s="18"/>
      <c r="AB7" s="20"/>
      <c r="AC7" s="21"/>
      <c r="AD7" s="22"/>
      <c r="AE7" s="23"/>
    </row>
    <row r="8" spans="1:31" ht="18" customHeight="1">
      <c r="B8" s="24"/>
      <c r="C8" s="25"/>
      <c r="D8" s="26"/>
      <c r="E8" s="27"/>
      <c r="F8" s="27"/>
      <c r="G8" s="28"/>
      <c r="H8" s="29"/>
      <c r="I8" s="30"/>
    </row>
    <row r="9" spans="1:31" ht="18" customHeight="1">
      <c r="B9" s="34" t="s">
        <v>103</v>
      </c>
      <c r="C9" s="35"/>
      <c r="F9" s="36"/>
    </row>
    <row r="10" spans="1:31" ht="18" customHeight="1">
      <c r="B10" s="40"/>
      <c r="C10" s="40"/>
      <c r="D10" s="40"/>
      <c r="E10" s="41"/>
      <c r="F10" s="42"/>
      <c r="G10" s="43"/>
      <c r="H10" s="44"/>
      <c r="I10" s="45"/>
    </row>
    <row r="11" spans="1:31" ht="30" customHeight="1">
      <c r="A11" s="46" t="s">
        <v>104</v>
      </c>
      <c r="B11" s="201" t="s">
        <v>102</v>
      </c>
      <c r="C11" s="202"/>
      <c r="D11" s="40"/>
      <c r="E11" s="198" t="s">
        <v>1</v>
      </c>
      <c r="F11" s="198"/>
      <c r="G11" s="198"/>
      <c r="H11" s="199" t="s">
        <v>10</v>
      </c>
      <c r="I11" s="199"/>
      <c r="J11" s="199"/>
      <c r="K11" s="200" t="s">
        <v>11</v>
      </c>
      <c r="L11" s="200"/>
      <c r="M11" s="200"/>
    </row>
    <row r="12" spans="1:31" s="59" customFormat="1" ht="24" customHeight="1">
      <c r="A12" s="48" t="s">
        <v>12</v>
      </c>
      <c r="B12" s="134" t="s">
        <v>13</v>
      </c>
      <c r="C12" s="48" t="s">
        <v>13</v>
      </c>
      <c r="D12" s="134" t="s">
        <v>14</v>
      </c>
      <c r="E12" s="135" t="s">
        <v>15</v>
      </c>
      <c r="F12" s="136" t="s">
        <v>16</v>
      </c>
      <c r="G12" s="52" t="s">
        <v>17</v>
      </c>
      <c r="H12" s="53" t="s">
        <v>15</v>
      </c>
      <c r="I12" s="54" t="s">
        <v>18</v>
      </c>
      <c r="J12" s="55" t="s">
        <v>17</v>
      </c>
      <c r="K12" s="56" t="s">
        <v>15</v>
      </c>
      <c r="L12" s="57" t="s">
        <v>18</v>
      </c>
      <c r="M12" s="58" t="s">
        <v>19</v>
      </c>
    </row>
    <row r="13" spans="1:31" s="59" customFormat="1" ht="24" customHeight="1">
      <c r="A13" s="60" t="s">
        <v>32</v>
      </c>
      <c r="B13" s="61" t="s">
        <v>33</v>
      </c>
      <c r="C13" s="62"/>
      <c r="D13" s="62"/>
      <c r="E13" s="62"/>
      <c r="F13" s="63"/>
      <c r="G13" s="64"/>
      <c r="H13" s="65"/>
      <c r="I13" s="65"/>
      <c r="J13" s="65"/>
      <c r="K13" s="64"/>
      <c r="L13" s="64"/>
      <c r="M13" s="64"/>
    </row>
    <row r="14" spans="1:31" s="79" customFormat="1">
      <c r="A14" s="66"/>
      <c r="B14" s="67" t="s">
        <v>27</v>
      </c>
      <c r="C14" s="68" t="s">
        <v>105</v>
      </c>
      <c r="D14" s="69" t="s">
        <v>58</v>
      </c>
      <c r="E14" s="70">
        <v>0</v>
      </c>
      <c r="F14" s="71">
        <f>+J14/H14</f>
        <v>1959.4901217321892</v>
      </c>
      <c r="G14" s="72">
        <f>F14*E14</f>
        <v>0</v>
      </c>
      <c r="H14" s="73">
        <v>100.22</v>
      </c>
      <c r="I14" s="74">
        <f>F14</f>
        <v>1959.4901217321892</v>
      </c>
      <c r="J14" s="75">
        <v>196380.1</v>
      </c>
      <c r="K14" s="76">
        <f t="shared" ref="K14" si="0">E14+H14</f>
        <v>100.22</v>
      </c>
      <c r="L14" s="77">
        <f t="shared" ref="L14" si="1">+I14</f>
        <v>1959.4901217321892</v>
      </c>
      <c r="M14" s="78">
        <f>+K14*L14</f>
        <v>196380.1</v>
      </c>
    </row>
    <row r="15" spans="1:31" s="79" customFormat="1">
      <c r="A15" s="66"/>
      <c r="B15" s="67"/>
      <c r="C15" s="156"/>
      <c r="D15" s="69"/>
      <c r="E15" s="70"/>
      <c r="F15" s="71"/>
      <c r="G15" s="72"/>
      <c r="H15" s="73"/>
      <c r="I15" s="74"/>
      <c r="J15" s="75"/>
      <c r="K15" s="86"/>
      <c r="L15" s="87"/>
      <c r="M15" s="88"/>
    </row>
    <row r="16" spans="1:31" s="89" customFormat="1" ht="18" customHeight="1">
      <c r="A16" s="80"/>
      <c r="B16" s="80"/>
      <c r="C16" s="157"/>
      <c r="D16" s="80"/>
      <c r="E16" s="81"/>
      <c r="F16" s="80"/>
      <c r="G16" s="82">
        <f>SUM(G14:G15)</f>
        <v>0</v>
      </c>
      <c r="H16" s="83"/>
      <c r="I16" s="84"/>
      <c r="J16" s="85">
        <f>SUM(J14:J15)</f>
        <v>196380.1</v>
      </c>
      <c r="K16" s="32"/>
      <c r="L16" s="32"/>
      <c r="M16" s="149">
        <f>SUM(M14:M15)</f>
        <v>196380.1</v>
      </c>
      <c r="N16" s="160"/>
    </row>
    <row r="17" spans="1:16" s="102" customFormat="1" ht="24.95" customHeight="1" thickBot="1">
      <c r="A17" s="90"/>
      <c r="B17" s="91"/>
      <c r="C17" s="92"/>
      <c r="D17" s="93"/>
      <c r="E17" s="94"/>
      <c r="F17" s="95"/>
      <c r="G17" s="96"/>
      <c r="H17" s="97"/>
      <c r="I17" s="98"/>
      <c r="J17" s="99"/>
      <c r="K17" s="99"/>
      <c r="L17" s="99"/>
      <c r="M17" s="99"/>
    </row>
    <row r="18" spans="1:16" s="102" customFormat="1" ht="24.95" customHeight="1" thickBot="1">
      <c r="A18" s="103"/>
      <c r="B18" s="104"/>
      <c r="C18" s="105" t="s">
        <v>20</v>
      </c>
      <c r="D18" s="106"/>
      <c r="E18" s="107"/>
      <c r="F18" s="108"/>
      <c r="G18" s="109">
        <f>G16</f>
        <v>0</v>
      </c>
      <c r="H18" s="110"/>
      <c r="I18" s="110"/>
      <c r="J18" s="111">
        <f>J16</f>
        <v>196380.1</v>
      </c>
      <c r="K18" s="111"/>
      <c r="L18" s="111"/>
      <c r="M18" s="164">
        <f>M16</f>
        <v>196380.1</v>
      </c>
      <c r="N18" s="113"/>
      <c r="O18" s="115"/>
      <c r="P18" s="115"/>
    </row>
    <row r="19" spans="1:16" s="102" customFormat="1" ht="24.95" customHeight="1">
      <c r="B19" s="116"/>
      <c r="C19" s="117"/>
      <c r="D19" s="118"/>
      <c r="E19" s="119"/>
      <c r="F19" s="95"/>
      <c r="G19" s="120"/>
      <c r="H19" s="121"/>
      <c r="I19" s="122"/>
      <c r="J19" s="113"/>
      <c r="K19" s="113"/>
      <c r="L19" s="113"/>
      <c r="M19" s="113"/>
    </row>
    <row r="20" spans="1:16" s="123" customFormat="1" ht="24.95" customHeight="1">
      <c r="B20" s="124" t="s">
        <v>21</v>
      </c>
      <c r="C20" s="125" t="s">
        <v>22</v>
      </c>
      <c r="E20" s="126"/>
      <c r="G20" s="125" t="s">
        <v>23</v>
      </c>
      <c r="H20" s="121"/>
      <c r="I20" s="127"/>
      <c r="J20" s="113"/>
      <c r="K20" s="128" t="s">
        <v>24</v>
      </c>
      <c r="L20" s="113"/>
      <c r="M20" s="113"/>
    </row>
    <row r="21" spans="1:16" s="123" customFormat="1" ht="24.95" customHeight="1">
      <c r="B21" s="124"/>
      <c r="C21" s="125"/>
      <c r="E21" s="126"/>
      <c r="G21" s="125"/>
      <c r="H21" s="121"/>
      <c r="I21" s="127"/>
      <c r="J21" s="113"/>
      <c r="K21" s="128"/>
      <c r="L21" s="113"/>
      <c r="M21" s="113"/>
    </row>
    <row r="22" spans="1:16" s="123" customFormat="1" ht="24.95" customHeight="1">
      <c r="B22" s="124" t="s">
        <v>25</v>
      </c>
      <c r="C22" s="124" t="s">
        <v>26</v>
      </c>
      <c r="E22" s="126"/>
      <c r="G22" s="124" t="s">
        <v>25</v>
      </c>
      <c r="H22" s="121"/>
      <c r="I22" s="127"/>
      <c r="J22" s="113"/>
      <c r="K22" s="124" t="s">
        <v>25</v>
      </c>
      <c r="L22" s="113"/>
      <c r="M22" s="113"/>
    </row>
    <row r="23" spans="1:16">
      <c r="B23" s="40"/>
      <c r="C23" s="40"/>
      <c r="D23" s="40"/>
      <c r="E23" s="41"/>
      <c r="G23" s="43"/>
      <c r="H23" s="44"/>
      <c r="I23" s="45"/>
    </row>
    <row r="24" spans="1:16">
      <c r="B24" s="40"/>
      <c r="C24" s="40"/>
      <c r="D24" s="40"/>
      <c r="E24" s="41"/>
      <c r="G24" s="43"/>
      <c r="H24" s="44"/>
      <c r="I24" s="45"/>
    </row>
    <row r="25" spans="1:16">
      <c r="B25" s="40"/>
      <c r="C25" s="40"/>
      <c r="D25" s="40"/>
      <c r="E25" s="41"/>
      <c r="G25" s="43"/>
      <c r="H25" s="44"/>
      <c r="I25" s="45"/>
    </row>
    <row r="26" spans="1:16">
      <c r="B26" s="40"/>
      <c r="C26" s="40"/>
      <c r="D26" s="40"/>
      <c r="E26" s="41"/>
      <c r="G26" s="43"/>
      <c r="H26" s="44"/>
      <c r="I26" s="45"/>
    </row>
    <row r="27" spans="1:16">
      <c r="B27" s="40"/>
      <c r="C27" s="40"/>
      <c r="D27" s="40"/>
      <c r="E27" s="41"/>
      <c r="G27" s="43"/>
      <c r="H27" s="44"/>
      <c r="I27" s="45"/>
    </row>
    <row r="28" spans="1:16">
      <c r="B28" s="40"/>
      <c r="C28" s="40"/>
      <c r="D28" s="40"/>
      <c r="E28" s="41"/>
      <c r="G28" s="43"/>
      <c r="H28" s="44"/>
      <c r="I28" s="45"/>
    </row>
    <row r="29" spans="1:16">
      <c r="B29" s="40"/>
      <c r="C29" s="40"/>
      <c r="D29" s="40"/>
      <c r="E29" s="41"/>
      <c r="G29" s="43"/>
      <c r="H29" s="44"/>
      <c r="I29" s="45"/>
    </row>
    <row r="30" spans="1:16">
      <c r="B30" s="40"/>
      <c r="C30" s="40"/>
      <c r="D30" s="40"/>
      <c r="E30" s="41"/>
      <c r="G30" s="43"/>
      <c r="H30" s="44"/>
      <c r="I30" s="45"/>
    </row>
    <row r="31" spans="1:16">
      <c r="B31" s="40"/>
      <c r="C31" s="40"/>
      <c r="D31" s="40"/>
      <c r="E31" s="41"/>
      <c r="G31" s="43"/>
      <c r="H31" s="44"/>
      <c r="I31" s="45"/>
    </row>
    <row r="32" spans="1:16">
      <c r="B32" s="40"/>
      <c r="C32" s="40"/>
      <c r="D32" s="40"/>
      <c r="E32" s="41"/>
      <c r="G32" s="43"/>
      <c r="H32" s="44"/>
      <c r="I32" s="45"/>
    </row>
    <row r="33" spans="1:31">
      <c r="B33" s="40"/>
      <c r="C33" s="40"/>
      <c r="D33" s="40"/>
      <c r="E33" s="41"/>
      <c r="G33" s="43"/>
      <c r="H33" s="44"/>
      <c r="I33" s="45"/>
    </row>
    <row r="34" spans="1:31">
      <c r="B34" s="40"/>
      <c r="C34" s="40"/>
      <c r="D34" s="40"/>
      <c r="E34" s="41"/>
      <c r="G34" s="43"/>
      <c r="H34" s="44"/>
      <c r="I34" s="45"/>
    </row>
    <row r="35" spans="1:31">
      <c r="B35" s="40"/>
      <c r="C35" s="40"/>
      <c r="D35" s="40"/>
      <c r="E35" s="41"/>
      <c r="G35" s="43"/>
      <c r="H35" s="44"/>
      <c r="I35" s="45"/>
    </row>
    <row r="36" spans="1:31">
      <c r="B36" s="40"/>
      <c r="C36" s="40"/>
      <c r="D36" s="40"/>
      <c r="E36" s="41"/>
      <c r="G36" s="43"/>
      <c r="H36" s="44"/>
      <c r="I36" s="45"/>
    </row>
    <row r="37" spans="1:31">
      <c r="B37" s="40"/>
      <c r="C37" s="40"/>
      <c r="D37" s="40"/>
      <c r="E37" s="41"/>
      <c r="G37" s="43"/>
      <c r="H37" s="44"/>
      <c r="I37" s="45"/>
    </row>
    <row r="38" spans="1:31" s="31" customFormat="1">
      <c r="A38" s="6"/>
      <c r="B38" s="40"/>
      <c r="C38" s="40"/>
      <c r="D38" s="40"/>
      <c r="E38" s="41"/>
      <c r="F38" s="129"/>
      <c r="G38" s="43"/>
      <c r="H38" s="44"/>
      <c r="I38" s="45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</row>
    <row r="39" spans="1:31" s="31" customFormat="1">
      <c r="A39" s="6"/>
      <c r="B39" s="40"/>
      <c r="C39" s="40"/>
      <c r="D39" s="40"/>
      <c r="E39" s="41"/>
      <c r="F39" s="129"/>
      <c r="G39" s="43"/>
      <c r="H39" s="44"/>
      <c r="I39" s="45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</row>
    <row r="40" spans="1:31" s="31" customFormat="1">
      <c r="A40" s="6"/>
      <c r="B40" s="40"/>
      <c r="C40" s="40"/>
      <c r="D40" s="40"/>
      <c r="E40" s="41"/>
      <c r="F40" s="129"/>
      <c r="G40" s="43"/>
      <c r="H40" s="44"/>
      <c r="I40" s="45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</row>
    <row r="41" spans="1:31" s="31" customFormat="1">
      <c r="A41" s="6"/>
      <c r="B41" s="40"/>
      <c r="C41" s="40"/>
      <c r="D41" s="40"/>
      <c r="E41" s="41"/>
      <c r="F41" s="129"/>
      <c r="G41" s="43"/>
      <c r="H41" s="44"/>
      <c r="I41" s="45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</row>
    <row r="42" spans="1:31" s="31" customFormat="1">
      <c r="A42" s="6"/>
      <c r="B42" s="40"/>
      <c r="C42" s="40"/>
      <c r="D42" s="40"/>
      <c r="E42" s="41"/>
      <c r="F42" s="129"/>
      <c r="G42" s="43"/>
      <c r="H42" s="44"/>
      <c r="I42" s="45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</row>
    <row r="43" spans="1:31" s="31" customFormat="1">
      <c r="A43" s="6"/>
      <c r="B43" s="40"/>
      <c r="C43" s="40"/>
      <c r="D43" s="40"/>
      <c r="E43" s="41"/>
      <c r="F43" s="129"/>
      <c r="G43" s="43"/>
      <c r="H43" s="44"/>
      <c r="I43" s="45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</row>
    <row r="44" spans="1:31" s="31" customFormat="1">
      <c r="A44" s="6"/>
      <c r="B44" s="40"/>
      <c r="C44" s="40"/>
      <c r="D44" s="40"/>
      <c r="E44" s="41"/>
      <c r="F44" s="129"/>
      <c r="G44" s="43"/>
      <c r="H44" s="44"/>
      <c r="I44" s="45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</row>
    <row r="45" spans="1:31" s="31" customFormat="1">
      <c r="A45" s="6"/>
      <c r="B45" s="40"/>
      <c r="C45" s="40"/>
      <c r="D45" s="40"/>
      <c r="E45" s="41"/>
      <c r="F45" s="129"/>
      <c r="G45" s="43"/>
      <c r="H45" s="44"/>
      <c r="I45" s="45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</row>
    <row r="46" spans="1:31" s="31" customFormat="1">
      <c r="A46" s="6"/>
      <c r="B46" s="40"/>
      <c r="C46" s="40"/>
      <c r="D46" s="40"/>
      <c r="E46" s="41"/>
      <c r="F46" s="129"/>
      <c r="G46" s="43"/>
      <c r="H46" s="44"/>
      <c r="I46" s="45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</row>
    <row r="47" spans="1:31" s="31" customFormat="1">
      <c r="A47" s="6"/>
      <c r="B47" s="40"/>
      <c r="C47" s="40"/>
      <c r="D47" s="40"/>
      <c r="E47" s="41"/>
      <c r="F47" s="129"/>
      <c r="G47" s="43"/>
      <c r="H47" s="44"/>
      <c r="I47" s="45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</row>
    <row r="48" spans="1:31" s="31" customFormat="1">
      <c r="A48" s="6"/>
      <c r="B48" s="40"/>
      <c r="C48" s="40"/>
      <c r="D48" s="40"/>
      <c r="E48" s="41"/>
      <c r="F48" s="129"/>
      <c r="G48" s="43"/>
      <c r="H48" s="44"/>
      <c r="I48" s="45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</row>
    <row r="49" spans="1:31" s="31" customFormat="1">
      <c r="A49" s="6"/>
      <c r="B49" s="40"/>
      <c r="C49" s="40"/>
      <c r="D49" s="40"/>
      <c r="E49" s="41"/>
      <c r="F49" s="129"/>
      <c r="G49" s="43"/>
      <c r="H49" s="44"/>
      <c r="I49" s="45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</row>
    <row r="50" spans="1:31" s="31" customFormat="1">
      <c r="A50" s="6"/>
      <c r="B50" s="40"/>
      <c r="C50" s="40"/>
      <c r="D50" s="40"/>
      <c r="E50" s="41"/>
      <c r="F50" s="129"/>
      <c r="G50" s="43"/>
      <c r="H50" s="44"/>
      <c r="I50" s="45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</row>
    <row r="51" spans="1:31" s="31" customFormat="1">
      <c r="A51" s="6"/>
      <c r="B51" s="40"/>
      <c r="C51" s="40"/>
      <c r="D51" s="40"/>
      <c r="E51" s="41"/>
      <c r="F51" s="129"/>
      <c r="G51" s="43"/>
      <c r="H51" s="44"/>
      <c r="I51" s="45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</row>
    <row r="52" spans="1:31" s="31" customFormat="1">
      <c r="A52" s="6"/>
      <c r="B52" s="40"/>
      <c r="C52" s="40"/>
      <c r="D52" s="40"/>
      <c r="E52" s="41"/>
      <c r="F52" s="129"/>
      <c r="G52" s="43"/>
      <c r="H52" s="44"/>
      <c r="I52" s="45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</row>
    <row r="53" spans="1:31" s="31" customFormat="1">
      <c r="A53" s="6"/>
      <c r="B53" s="40"/>
      <c r="C53" s="40"/>
      <c r="D53" s="40"/>
      <c r="E53" s="41"/>
      <c r="F53" s="129"/>
      <c r="G53" s="43"/>
      <c r="H53" s="44"/>
      <c r="I53" s="45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</row>
    <row r="54" spans="1:31" s="31" customFormat="1">
      <c r="A54" s="6"/>
      <c r="B54" s="40"/>
      <c r="C54" s="40"/>
      <c r="D54" s="40"/>
      <c r="E54" s="41"/>
      <c r="F54" s="129"/>
      <c r="G54" s="43"/>
      <c r="H54" s="44"/>
      <c r="I54" s="45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</row>
    <row r="55" spans="1:31" s="31" customFormat="1">
      <c r="A55" s="6"/>
      <c r="B55" s="40"/>
      <c r="C55" s="40"/>
      <c r="D55" s="40"/>
      <c r="E55" s="41"/>
      <c r="F55" s="129"/>
      <c r="G55" s="43"/>
      <c r="H55" s="44"/>
      <c r="I55" s="45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</row>
    <row r="56" spans="1:31" s="31" customFormat="1">
      <c r="A56" s="6"/>
      <c r="B56" s="40"/>
      <c r="C56" s="40"/>
      <c r="D56" s="40"/>
      <c r="E56" s="41"/>
      <c r="F56" s="129"/>
      <c r="G56" s="43"/>
      <c r="H56" s="44"/>
      <c r="I56" s="45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</row>
    <row r="57" spans="1:31" s="31" customFormat="1">
      <c r="A57" s="6"/>
      <c r="B57" s="40"/>
      <c r="C57" s="40"/>
      <c r="D57" s="40"/>
      <c r="E57" s="41"/>
      <c r="F57" s="129"/>
      <c r="G57" s="43"/>
      <c r="H57" s="44"/>
      <c r="I57" s="45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</row>
    <row r="58" spans="1:31" s="31" customFormat="1">
      <c r="A58" s="6"/>
      <c r="B58" s="40"/>
      <c r="C58" s="40"/>
      <c r="D58" s="40"/>
      <c r="E58" s="41"/>
      <c r="F58" s="129"/>
      <c r="G58" s="43"/>
      <c r="H58" s="44"/>
      <c r="I58" s="45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</row>
    <row r="59" spans="1:31" s="31" customFormat="1">
      <c r="A59" s="6"/>
      <c r="B59" s="40"/>
      <c r="C59" s="40"/>
      <c r="D59" s="40"/>
      <c r="E59" s="41"/>
      <c r="F59" s="129"/>
      <c r="G59" s="43"/>
      <c r="H59" s="44"/>
      <c r="I59" s="45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</row>
    <row r="60" spans="1:31" s="31" customFormat="1">
      <c r="A60" s="6"/>
      <c r="B60" s="40"/>
      <c r="C60" s="40"/>
      <c r="D60" s="40"/>
      <c r="E60" s="41"/>
      <c r="F60" s="129"/>
      <c r="G60" s="43"/>
      <c r="H60" s="44"/>
      <c r="I60" s="45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</row>
    <row r="61" spans="1:31" s="31" customFormat="1">
      <c r="A61" s="6"/>
      <c r="B61" s="40"/>
      <c r="C61" s="40"/>
      <c r="D61" s="40"/>
      <c r="E61" s="41"/>
      <c r="F61" s="129"/>
      <c r="G61" s="43"/>
      <c r="H61" s="44"/>
      <c r="I61" s="45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</row>
    <row r="62" spans="1:31" s="31" customFormat="1">
      <c r="A62" s="6"/>
      <c r="B62" s="40"/>
      <c r="C62" s="40"/>
      <c r="D62" s="40"/>
      <c r="E62" s="41"/>
      <c r="F62" s="129"/>
      <c r="G62" s="43"/>
      <c r="H62" s="44"/>
      <c r="I62" s="45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</row>
    <row r="63" spans="1:31" s="31" customFormat="1">
      <c r="A63" s="6"/>
      <c r="B63" s="40"/>
      <c r="C63" s="40"/>
      <c r="D63" s="40"/>
      <c r="E63" s="41"/>
      <c r="F63" s="129"/>
      <c r="G63" s="43"/>
      <c r="H63" s="44"/>
      <c r="I63" s="45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</row>
    <row r="64" spans="1:31" s="31" customFormat="1">
      <c r="A64" s="6"/>
      <c r="B64" s="40"/>
      <c r="C64" s="40"/>
      <c r="D64" s="40"/>
      <c r="E64" s="41"/>
      <c r="F64" s="129"/>
      <c r="G64" s="43"/>
      <c r="H64" s="44"/>
      <c r="I64" s="45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</row>
    <row r="65" spans="1:31" s="31" customFormat="1">
      <c r="A65" s="6"/>
      <c r="B65" s="40"/>
      <c r="C65" s="40"/>
      <c r="D65" s="40"/>
      <c r="E65" s="41"/>
      <c r="F65" s="129"/>
      <c r="G65" s="43"/>
      <c r="H65" s="44"/>
      <c r="I65" s="45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</row>
    <row r="66" spans="1:31" s="31" customFormat="1">
      <c r="A66" s="6"/>
      <c r="B66" s="40"/>
      <c r="C66" s="40"/>
      <c r="D66" s="40"/>
      <c r="E66" s="41"/>
      <c r="F66" s="129"/>
      <c r="G66" s="43"/>
      <c r="H66" s="44"/>
      <c r="I66" s="45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</row>
  </sheetData>
  <mergeCells count="4">
    <mergeCell ref="E11:G11"/>
    <mergeCell ref="H11:J11"/>
    <mergeCell ref="B11:C11"/>
    <mergeCell ref="K11:M11"/>
  </mergeCells>
  <conditionalFormatting sqref="Y1:AE1 D3 A1:W1">
    <cfRule type="cellIs" dxfId="0" priority="1" stopIfTrue="1" operator="lessThan">
      <formula>0</formula>
    </cfRule>
  </conditionalFormatting>
  <pageMargins left="0.19685039370078741" right="0.19685039370078741" top="0.59055118110236227" bottom="0.59055118110236227" header="0.31496062992125984" footer="0.31496062992125984"/>
  <pageSetup paperSize="9" scale="68" fitToHeight="6" orientation="landscape" r:id="rId1"/>
  <headerFooter alignWithMargins="0">
    <oddFooter>&amp;R&amp;8stránka&amp;P /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6</vt:i4>
      </vt:variant>
    </vt:vector>
  </HeadingPairs>
  <TitlesOfParts>
    <vt:vector size="10" baseType="lpstr">
      <vt:lpstr>Rekapitulace</vt:lpstr>
      <vt:lpstr>ZM_1</vt:lpstr>
      <vt:lpstr>ZM_2</vt:lpstr>
      <vt:lpstr>ZM_3</vt:lpstr>
      <vt:lpstr>ZM_1!Názvy_tisku</vt:lpstr>
      <vt:lpstr>ZM_2!Názvy_tisku</vt:lpstr>
      <vt:lpstr>ZM_3!Názvy_tisku</vt:lpstr>
      <vt:lpstr>ZM_1!Oblast_tisku</vt:lpstr>
      <vt:lpstr>ZM_2!Oblast_tisku</vt:lpstr>
      <vt:lpstr>ZM_3!Oblast_tisku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ANTALOVÁ, Zdena</cp:lastModifiedBy>
  <cp:lastPrinted>2022-12-20T07:06:53Z</cp:lastPrinted>
  <dcterms:created xsi:type="dcterms:W3CDTF">2010-04-23T09:15:20Z</dcterms:created>
  <dcterms:modified xsi:type="dcterms:W3CDTF">2022-12-20T07:08:24Z</dcterms:modified>
</cp:coreProperties>
</file>